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kxRkTIGWv9z9btaQUHnuRsRQLutjUqwxmRnqZuIxWUfoa+2xD3jZllBs9i+obUrMiKrxSB4ZQGZg7PNRU5KwQw==" workbookSaltValue="oQhQM8js4jZgHk4caewE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F17" i="8"/>
  <c r="BC13" i="13"/>
  <c r="BK19" i="13"/>
  <c r="BE9" i="13"/>
  <c r="ER19" i="8"/>
  <c r="EL19" i="8"/>
  <c r="EQ19" i="8"/>
  <c r="ES19" i="8"/>
  <c r="BH19" i="13"/>
  <c r="R8" i="9"/>
  <c r="X12" i="21" s="1"/>
  <c r="EP19" i="8"/>
  <c r="EP19" i="19"/>
  <c r="T17" i="11"/>
  <c r="BH9" i="16"/>
  <c r="BJ17" i="11"/>
  <c r="BH15" i="16"/>
  <c r="V11" i="16"/>
  <c r="BF16" i="11"/>
  <c r="BL12" i="11"/>
  <c r="AT17" i="20"/>
  <c r="V17" i="16"/>
  <c r="AL9" i="11"/>
  <c r="K18" i="2"/>
  <c r="F9" i="2"/>
  <c r="M13" i="2"/>
  <c r="N13" i="2"/>
  <c r="H13" i="1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BB13" i="13"/>
  <c r="BD12" i="8"/>
  <c r="BF9" i="8"/>
  <c r="J18" i="17"/>
  <c r="L17" i="2"/>
  <c r="V9" i="16"/>
  <c r="BG15" i="13"/>
  <c r="BA18" i="13"/>
  <c r="BE15" i="13"/>
  <c r="AH20" i="20"/>
  <c r="AL20" i="20"/>
  <c r="AB20" i="20"/>
  <c r="U10" i="11"/>
  <c r="AO20" i="20"/>
  <c r="AN20" i="20"/>
  <c r="Y20" i="20"/>
  <c r="AY18" i="8" l="1"/>
  <c r="AJ19" i="8"/>
  <c r="T19" i="8"/>
  <c r="AC10" i="11"/>
  <c r="D10" i="6"/>
  <c r="AY13" i="8"/>
  <c r="E12" i="6"/>
  <c r="B10" i="6"/>
  <c r="AL12" i="11"/>
  <c r="AO12" i="11"/>
  <c r="H12" i="7"/>
  <c r="H12" i="2"/>
  <c r="L9" i="14"/>
  <c r="L12" i="14"/>
  <c r="C10" i="6"/>
  <c r="C17" i="6"/>
  <c r="BG16" i="13"/>
  <c r="BD16" i="13"/>
  <c r="BE16" i="13"/>
  <c r="BG15" i="8"/>
  <c r="K15" i="7" s="1"/>
  <c r="BD16" i="8"/>
  <c r="AO17" i="11"/>
  <c r="L16" i="14"/>
  <c r="L17" i="14"/>
  <c r="AZ18" i="13"/>
  <c r="F15" i="17"/>
  <c r="AQ15" i="17" s="1"/>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H20" i="20"/>
  <c r="E20" i="20"/>
  <c r="AP20" i="20"/>
  <c r="AZ20" i="20"/>
  <c r="AM20" i="20"/>
  <c r="I20" i="20"/>
  <c r="AA20" i="20"/>
  <c r="AU20" i="20"/>
  <c r="AF20" i="20"/>
  <c r="F20" i="20"/>
  <c r="AK20" i="20"/>
  <c r="W20" i="21"/>
  <c r="AV20" i="20"/>
  <c r="AQ20" i="21"/>
  <c r="K20" i="20"/>
  <c r="AD20" i="20"/>
  <c r="AJ20" i="20"/>
  <c r="J20" i="20"/>
  <c r="O16" i="11"/>
  <c r="AG20" i="20"/>
  <c r="U12" i="11"/>
  <c r="S20" i="20"/>
  <c r="Z20" i="20"/>
  <c r="U16" i="11"/>
  <c r="G18" i="14"/>
  <c r="AE20" i="20"/>
  <c r="X20" i="20"/>
  <c r="O20" i="20"/>
  <c r="Q20" i="20"/>
  <c r="AI20" i="20"/>
  <c r="M20" i="20"/>
  <c r="AQ20" i="20"/>
  <c r="P20" i="20"/>
  <c r="T20" i="20"/>
  <c r="AC20" i="20"/>
  <c r="W20" i="20"/>
  <c r="N20" i="20"/>
  <c r="G13" i="14"/>
  <c r="T20" i="21"/>
  <c r="C13" i="6" l="1"/>
  <c r="J18" i="2"/>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AX20" i="21"/>
  <c r="BR20" i="16"/>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<sst xmlns="http://schemas.openxmlformats.org/spreadsheetml/2006/main" count="2102" uniqueCount="917">
  <si>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</si>
  <si>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</si>
  <si>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</si>
  <si>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</si>
  <si>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</si>
  <si>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</si>
  <si>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</si>
  <si>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</si>
  <si>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</si>
  <si>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</si>
  <si>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</si>
  <si>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</si>
  <si>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</si>
  <si>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</si>
  <si>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</si>
  <si>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</si>
  <si>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</si>
  <si>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</si>
  <si>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</si>
  <si>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</si>
  <si>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</si>
  <si>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</si>
  <si>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</si>
  <si>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</si>
  <si>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</si>
  <si>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</si>
  <si>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</si>
  <si>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</si>
  <si>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</si>
  <si>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</si>
  <si>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</si>
  <si>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</si>
  <si>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</si>
  <si>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</si>
  <si>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</si>
  <si>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</si>
  <si>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</si>
  <si>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</si>
  <si>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</si>
  <si>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</si>
  <si>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</si>
  <si>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</si>
  <si>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</si>
  <si>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</si>
  <si>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</si>
  <si>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</si>
  <si>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</si>
  <si>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</si>
  <si>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</si>
  <si>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</si>
  <si>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</si>
  <si>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</si>
  <si>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</si>
  <si>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</si>
  <si>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</si>
  <si>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</si>
  <si>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</si>
  <si>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</si>
  <si>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</si>
  <si>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</si>
  <si>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</si>
  <si>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</si>
  <si>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</si>
  <si>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</si>
  <si>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</si>
  <si>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</si>
  <si>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</si>
  <si>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</si>
  <si>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</si>
  <si>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</si>
  <si>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</si>
  <si>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</si>
  <si>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</si>
  <si>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</si>
  <si>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</si>
  <si>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</si>
  <si>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</si>
  <si>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</si>
  <si>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</si>
  <si>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</si>
  <si>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</si>
  <si>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</si>
  <si>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</si>
  <si>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</si>
  <si>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</si>
  <si>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</si>
  <si>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</si>
  <si>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</si>
  <si>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</si>
  <si>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</si>
  <si>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</si>
  <si>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</si>
  <si>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</si>
  <si>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</si>
  <si>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</si>
  <si>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</si>
  <si>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</si>
  <si>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</si>
  <si>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</si>
  <si>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</si>
  <si>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</si>
  <si>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</si>
  <si>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</si>
  <si>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</si>
  <si>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</si>
  <si>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</si>
  <si>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</si>
  <si>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</si>
  <si>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</si>
  <si>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</si>
  <si>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</si>
  <si>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</si>
  <si>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</si>
  <si>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</si>
  <si>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</si>
  <si>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</si>
  <si>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</si>
  <si>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</si>
  <si>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</si>
  <si>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</si>
  <si>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</si>
  <si>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</si>
  <si>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</si>
  <si>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</si>
  <si>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</si>
  <si>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</si>
  <si>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</si>
  <si>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</si>
  <si>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</si>
  <si>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</si>
  <si>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</si>
  <si>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</si>
  <si>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</si>
  <si>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</si>
  <si>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</si>
  <si>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</si>
  <si>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</si>
  <si>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</si>
  <si>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</si>
  <si>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</si>
  <si>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</si>
  <si>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</si>
  <si>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</si>
  <si>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</si>
  <si>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</si>
  <si>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</si>
  <si>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</si>
  <si>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</si>
  <si>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</si>
  <si>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</si>
  <si>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</si>
  <si>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</si>
  <si>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</si>
  <si>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</si>
  <si>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</si>
  <si>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</si>
  <si>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</si>
  <si>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</si>
  <si>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</si>
  <si>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</si>
  <si>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</si>
  <si>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</si>
  <si>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</si>
  <si>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</si>
  <si>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</si>
  <si>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</si>
  <si>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</si>
  <si>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</si>
  <si>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</si>
  <si>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</si>
  <si>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</si>
  <si>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</si>
  <si>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</si>
  <si>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</si>
  <si>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</si>
  <si>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</si>
  <si>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</si>
  <si>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</si>
  <si>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</si>
  <si>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</si>
  <si>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</si>
  <si>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</si>
  <si>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</si>
  <si>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</si>
  <si>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</si>
  <si>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</si>
  <si>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</si>
  <si>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</si>
  <si>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</si>
  <si>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</si>
  <si>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</si>
  <si>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</si>
  <si>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</si>
  <si>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</si>
  <si>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</si>
  <si>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</si>
  <si>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</si>
  <si>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</si>
  <si>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</si>
  <si>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</si>
  <si>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</si>
  <si>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</si>
  <si>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</si>
  <si>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</si>
  <si>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</si>
  <si>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</si>
  <si>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</si>
  <si>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</si>
  <si>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</si>
  <si>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</si>
  <si>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</si>
  <si>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</si>
  <si>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</si>
  <si>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</si>
  <si>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</si>
  <si>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</si>
  <si>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</si>
  <si>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</si>
  <si>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</si>
  <si>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</si>
  <si>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</si>
  <si>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</si>
  <si>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</si>
  <si>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</si>
  <si>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</si>
  <si>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</si>
  <si>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</si>
  <si>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</si>
  <si>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</si>
  <si>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</si>
  <si>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</si>
  <si>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</si>
  <si>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</si>
  <si>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</si>
  <si>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</si>
  <si>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</si>
  <si>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</si>
  <si>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</si>
  <si>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</si>
  <si>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</si>
  <si>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</si>
  <si>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</si>
  <si>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</si>
  <si>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</si>
  <si>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</si>
  <si>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</si>
  <si>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</si>
  <si>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</si>
  <si>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</si>
  <si>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</si>
  <si>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</si>
  <si>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</si>
  <si>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</si>
  <si>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</si>
  <si>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</si>
  <si>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</si>
  <si>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</si>
  <si>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</si>
  <si>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</si>
  <si>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</si>
  <si>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</si>
  <si>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</si>
  <si>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</si>
  <si>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</si>
  <si>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</si>
  <si>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</si>
  <si>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</si>
  <si>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</si>
  <si>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</si>
  <si>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</si>
  <si>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</si>
  <si>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</si>
  <si>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</si>
  <si>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</si>
  <si>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</si>
  <si>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</si>
  <si>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</si>
  <si>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</si>
  <si>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</si>
  <si>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</si>
  <si>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</si>
  <si>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</si>
  <si>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</si>
  <si>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</si>
  <si>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</si>
  <si>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</si>
  <si>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</si>
  <si>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</si>
  <si>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</si>
  <si>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</si>
  <si>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</si>
  <si>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</si>
  <si>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</si>
  <si>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</si>
  <si>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</si>
  <si>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</si>
  <si>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</si>
  <si>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</si>
  <si>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</si>
  <si>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</si>
  <si>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</si>
  <si>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</si>
  <si>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</si>
  <si>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</si>
  <si>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</si>
  <si>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</si>
  <si>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</si>
  <si>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</si>
  <si>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</si>
  <si>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</si>
  <si>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</si>
  <si>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</si>
  <si>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</si>
  <si>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</si>
  <si>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</si>
  <si>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</si>
  <si>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</si>
  <si>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</si>
  <si>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</si>
  <si>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</si>
  <si>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</si>
  <si>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</si>
  <si>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</si>
  <si>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</si>
  <si>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</si>
  <si>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</si>
  <si>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</si>
  <si>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</si>
  <si>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</si>
  <si>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</si>
  <si>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</si>
  <si>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</si>
  <si>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</si>
  <si>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</si>
  <si>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</si>
  <si>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</si>
  <si>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</si>
  <si>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</si>
  <si>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</si>
  <si>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</si>
  <si>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</si>
  <si>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</si>
  <si>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</si>
  <si>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</si>
  <si>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</si>
  <si>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</si>
  <si>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</si>
  <si>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</si>
  <si>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</si>
  <si>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</si>
  <si>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</si>
  <si>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</si>
  <si>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</si>
  <si>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</si>
  <si>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</si>
  <si>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</si>
  <si>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</si>
  <si>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</si>
  <si>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</si>
  <si>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</si>
  <si>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</si>
  <si>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</si>
  <si>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</si>
  <si>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</si>
  <si>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</si>
  <si>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</si>
  <si>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</si>
  <si>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</si>
  <si>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</si>
  <si>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</si>
  <si>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</si>
  <si>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</si>
  <si>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</si>
  <si>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</si>
  <si>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</si>
  <si>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</si>
  <si>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</si>
  <si>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</si>
  <si>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</si>
  <si>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</si>
  <si>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</si>
  <si>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</si>
  <si>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</si>
  <si>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</si>
  <si>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</si>
  <si>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</si>
  <si>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</si>
  <si>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</si>
  <si>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</si>
  <si>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</si>
  <si>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</si>
  <si>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</si>
  <si>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</si>
  <si>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</si>
  <si>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</si>
  <si>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</si>
  <si>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</si>
  <si>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</si>
  <si>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</si>
  <si>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</si>
  <si>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</si>
  <si>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</si>
  <si>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</si>
  <si>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</si>
  <si>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</si>
  <si>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</si>
  <si>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</si>
  <si>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</si>
  <si>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</si>
  <si>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</si>
  <si>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</si>
  <si>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</si>
  <si>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</si>
  <si>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</si>
  <si>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</si>
  <si>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</si>
  <si>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</si>
  <si>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</si>
  <si>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</si>
  <si>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</si>
  <si>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</si>
  <si>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</si>
  <si>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</si>
  <si>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</si>
  <si>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</si>
  <si>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</si>
  <si>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</si>
  <si>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</si>
  <si>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</si>
  <si>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</si>
  <si>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</si>
  <si>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</si>
  <si>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</si>
  <si>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</si>
  <si>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</si>
  <si>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</si>
  <si>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</si>
  <si>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</si>
  <si>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</si>
  <si>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</si>
  <si>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</si>
  <si>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</si>
  <si>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</si>
  <si>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</si>
  <si>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</si>
  <si>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</si>
  <si>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</si>
  <si>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</si>
  <si>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</si>
  <si>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</si>
  <si>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</si>
  <si>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</si>
  <si>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</si>
  <si>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</si>
  <si>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</si>
  <si>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</si>
  <si>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</si>
  <si>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</si>
  <si>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</si>
  <si>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</si>
  <si>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</si>
  <si>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</si>
  <si>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</si>
  <si>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</si>
  <si>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</si>
  <si>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</si>
  <si>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</si>
  <si>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</si>
  <si>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</si>
  <si>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</si>
  <si>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</si>
  <si>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</si>
  <si>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</si>
  <si>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</si>
  <si>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</si>
  <si>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</si>
  <si>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</si>
  <si>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</si>
  <si>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</si>
  <si>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</si>
  <si>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</si>
  <si>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</si>
  <si>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</si>
  <si>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</si>
  <si>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</si>
  <si>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</si>
  <si>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</si>
  <si>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</si>
  <si>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</si>
  <si>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</si>
  <si>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</si>
  <si>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</si>
  <si>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</si>
  <si>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</si>
  <si>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</si>
  <si>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</si>
  <si>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</si>
  <si>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</si>
  <si>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</si>
  <si>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</si>
  <si>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</si>
  <si>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</si>
  <si>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</si>
  <si>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</si>
  <si>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</si>
  <si>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</si>
  <si>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</si>
  <si>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</si>
  <si>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</si>
  <si>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</si>
  <si>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</si>
  <si>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</si>
  <si>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</si>
  <si>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</si>
  <si>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</si>
  <si>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</si>
  <si>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</si>
  <si>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</si>
  <si>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</si>
  <si>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</si>
  <si>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</si>
  <si>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</si>
  <si>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</si>
  <si>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</si>
  <si>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</si>
  <si>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</si>
  <si>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</si>
  <si>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</si>
  <si>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</si>
  <si>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</si>
  <si>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</si>
  <si>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</si>
  <si>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</si>
  <si>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</si>
  <si>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</si>
  <si>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</si>
  <si>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</si>
  <si>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</si>
  <si>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</si>
  <si>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</si>
  <si>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</si>
  <si>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</si>
  <si>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</si>
  <si>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</si>
  <si>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</si>
  <si>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</si>
  <si>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</si>
  <si>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</si>
  <si>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</si>
  <si>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</si>
  <si>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</si>
  <si>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</si>
  <si>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</si>
  <si>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</si>
  <si>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</si>
  <si>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</si>
  <si>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</si>
  <si>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</si>
  <si>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</si>
  <si>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</si>
  <si>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</si>
  <si>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</si>
  <si>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</si>
  <si>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</si>
  <si>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</si>
  <si>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</si>
  <si>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</si>
  <si>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</si>
  <si>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</si>
  <si>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</si>
  <si>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</si>
  <si>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</si>
  <si>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</si>
  <si>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</si>
  <si>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</si>
  <si>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</si>
  <si>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</si>
  <si>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</si>
  <si>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</si>
  <si>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</si>
  <si>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</si>
  <si>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</si>
  <si>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</si>
  <si>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</si>
  <si>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</si>
  <si>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</si>
  <si>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</si>
  <si>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</si>
  <si>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</si>
  <si>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</si>
  <si>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</si>
  <si>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</si>
  <si>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</si>
  <si>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</si>
  <si>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</si>
  <si>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</si>
  <si>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</si>
  <si>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</si>
  <si>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</si>
  <si>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</si>
  <si>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</si>
  <si>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</si>
  <si>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</si>
  <si>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</si>
  <si>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</si>
  <si>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</si>
  <si>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</si>
  <si>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</si>
  <si>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</si>
  <si>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</si>
  <si>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</si>
  <si>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</si>
  <si>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</si>
  <si>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</si>
  <si>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</si>
  <si>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</si>
  <si>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</si>
  <si>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</si>
  <si>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</si>
  <si>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</si>
  <si>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</si>
  <si>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</si>
  <si>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</si>
  <si>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</si>
  <si>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</si>
  <si>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</si>
  <si>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</si>
  <si>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</si>
  <si>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</si>
  <si>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</si>
  <si>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</si>
  <si>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</si>
  <si>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</si>
  <si>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</si>
  <si>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</si>
  <si>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</si>
  <si>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</si>
  <si>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</si>
  <si>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</si>
  <si>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</si>
  <si>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</si>
  <si>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</si>
  <si>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</si>
  <si>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</si>
  <si>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</si>
  <si>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</si>
  <si>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</si>
  <si>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</si>
  <si>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</si>
  <si>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</si>
  <si>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</si>
  <si>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</si>
  <si>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</si>
  <si>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</si>
  <si>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</si>
  <si>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</si>
  <si>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</si>
  <si>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</si>
  <si>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</si>
  <si>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</si>
  <si>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</si>
  <si>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</si>
  <si>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</si>
  <si>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</si>
  <si>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</si>
  <si>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</si>
  <si>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</si>
  <si>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</si>
  <si>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</si>
  <si>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</si>
  <si>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</si>
  <si>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</si>
  <si>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</si>
  <si>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</si>
  <si>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</si>
  <si>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</si>
  <si>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</si>
  <si>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</si>
  <si>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</si>
  <si>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</si>
  <si>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</si>
  <si>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</si>
  <si>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</si>
  <si>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</si>
  <si>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</si>
  <si>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</si>
  <si>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</si>
  <si>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</si>
  <si>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</si>
  <si>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</si>
  <si>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</si>
  <si>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</si>
  <si>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</si>
  <si>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</si>
  <si>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</si>
  <si>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</si>
  <si>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</si>
  <si>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</si>
  <si>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</si>
  <si>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</si>
  <si>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</si>
  <si>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</si>
  <si>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</si>
  <si>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</si>
  <si>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</si>
  <si>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</si>
  <si>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</si>
  <si>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</si>
  <si>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</si>
  <si>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</si>
  <si>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</si>
  <si>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</si>
  <si>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</si>
  <si>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</si>
  <si>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</si>
  <si>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</si>
  <si>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</si>
  <si>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</si>
  <si>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</si>
  <si>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</si>
  <si>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</si>
  <si>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</si>
  <si>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</si>
  <si>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</si>
  <si>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</si>
  <si>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</si>
  <si>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</si>
  <si>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</si>
  <si>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</si>
  <si>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</si>
  <si>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</si>
  <si>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</si>
  <si>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</si>
  <si>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</si>
  <si>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</si>
  <si>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</si>
  <si>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</si>
  <si>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</si>
  <si>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</si>
  <si>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</si>
  <si>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</si>
  <si>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</si>
  <si>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</si>
  <si>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</si>
  <si>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</si>
  <si>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</si>
  <si>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</si>
  <si>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</si>
  <si>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</si>
  <si>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</si>
  <si>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</si>
  <si>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</si>
  <si>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</si>
  <si>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</si>
  <si>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</si>
  <si>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</si>
  <si>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</si>
  <si>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</si>
  <si>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</si>
  <si>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</si>
  <si>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</si>
  <si>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</si>
  <si>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</si>
  <si>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</si>
  <si>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</si>
  <si>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</si>
  <si>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</si>
  <si>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</si>
  <si>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</si>
  <si>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</si>
  <si>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</si>
  <si>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</si>
  <si>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</si>
  <si>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</si>
  <si>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</si>
  <si>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</si>
  <si>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</si>
  <si>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</si>
  <si>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</si>
  <si>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</si>
  <si>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</si>
  <si>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</si>
  <si>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</si>
  <si>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</si>
  <si>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</si>
  <si>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</si>
  <si>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</si>
  <si>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</si>
  <si>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</si>
  <si>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</si>
  <si>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</si>
  <si>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</si>
  <si>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</si>
  <si>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</si>
  <si>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</si>
  <si>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</si>
  <si>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</si>
  <si>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</si>
  <si>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</si>
  <si>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</si>
  <si>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</si>
  <si>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</si>
  <si>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</si>
  <si>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</si>
  <si>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</si>
  <si>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</si>
  <si>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</si>
  <si>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</si>
  <si>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</si>
  <si>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</si>
  <si>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</si>
  <si>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</si>
  <si>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</si>
  <si>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</si>
  <si>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</si>
  <si>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</si>
  <si>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</si>
  <si>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</si>
  <si>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</si>
  <si>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</si>
  <si>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</si>
  <si>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</si>
  <si>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</si>
  <si>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</si>
  <si>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</si>
  <si>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</si>
  <si>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</si>
  <si>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</si>
  <si>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</si>
  <si>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</si>
  <si>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</si>
  <si>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</si>
  <si>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</si>
  <si>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</si>
  <si>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</si>
  <si>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</si>
  <si>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</si>
  <si>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</si>
  <si>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</si>
  <si>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</si>
  <si>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</si>
  <si>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</si>
  <si>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</si>
  <si>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</si>
  <si>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</si>
  <si>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</si>
  <si>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</si>
  <si>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</si>
  <si>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</si>
  <si>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</si>
  <si>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</si>
  <si>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</si>
  <si>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</si>
  <si>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</si>
  <si>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</si>
  <si>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</si>
  <si>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</si>
  <si>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</si>
  <si>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</si>
  <si>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</si>
  <si>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</si>
  <si>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</si>
  <si>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</si>
  <si>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</si>
  <si>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</si>
  <si>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</si>
  <si>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</si>
  <si>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</si>
  <si>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</si>
  <si>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</si>
  <si>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</si>
  <si>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</si>
  <si>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</si>
  <si>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</si>
  <si>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</si>
  <si>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</si>
  <si>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</si>
  <si>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</si>
  <si>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</si>
  <si>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</si>
  <si>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</si>
  <si>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</si>
  <si>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</si>
  <si>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</si>
  <si>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</si>
  <si>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</si>
  <si>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</si>
  <si>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</si>
  <si>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</si>
  <si>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</si>
  <si>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</si>
  <si>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</si>
  <si>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</si>
  <si>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</si>
  <si>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</si>
  <si>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</si>
  <si>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</si>
  <si>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</si>
  <si>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</si>
  <si>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</si>
  <si>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</si>
  <si>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</si>
  <si>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</si>
  <si>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</si>
  <si>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</si>
  <si>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</si>
  <si>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</si>
  <si>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</si>
  <si>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</si>
  <si>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</si>
  <si>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</si>
  <si>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</si>
  <si>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</si>
  <si>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</si>
  <si>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</si>
  <si>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</si>
  <si>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VILLARROBLEDO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</si>
</sst>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cQsPDjQKnnfwvtIeG43FZXX74EkJxxwpNCU2yek6b7Ukg8VuYD7MGBgr5Wkkni1M2uTtl9UCuiaDtqO++hDXQ==" saltValue="iHs+WvRf3fZDMxu6Jas8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1</v>
      </c>
      <c r="F10" s="226">
        <f>IF(ISNUMBER(Datos!K10),Datos!K10," - ")</f>
        <v>1</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39.643874643874639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519</v>
      </c>
      <c r="D16" s="225">
        <f>IF(ISNUMBER(IF(D_I="SI",Datos!I16,Datos!I16+Datos!AC16)),IF(D_I="SI",Datos!I16,Datos!I16+Datos!AC16)," - ")</f>
        <v>515</v>
      </c>
      <c r="E16" s="226">
        <f>IF(ISNUMBER(IF(D_I="SI",Datos!J16,Datos!J16+Datos!AD16)),IF(D_I="SI",Datos!J16,Datos!J16+Datos!AD16)," - ")</f>
        <v>301</v>
      </c>
      <c r="F16" s="226">
        <f>IF(ISNUMBER(IF(D_I="SI",Datos!K16,Datos!K16+Datos!AE16)),IF(D_I="SI",Datos!K16,Datos!K16+Datos!AE16)," - ")</f>
        <v>311</v>
      </c>
      <c r="G16" s="1034" t="str">
        <f>IF(Datos!E16&lt;&gt;"",Datos!E16,Datos!D16)</f>
        <v>04</v>
      </c>
      <c r="H16" s="227">
        <f>IF(ISNUMBER(IF(D_I="SI",Datos!L16,Datos!L16+Datos!AF16)),IF(D_I="SI",Datos!L16,Datos!L16+Datos!AF16)," - ")</f>
        <v>509</v>
      </c>
      <c r="I16" s="1044" t="str">
        <f>IF(ISNUMBER(Datos!AS16/Datos!BM16),Datos!AS16/Datos!BM16," - ")</f>
        <v xml:space="preserve"> - </v>
      </c>
      <c r="J16" s="1045">
        <f>IF(ISNUMBER(Datos!BY16/Datos!CN16),Datos!BY16/Datos!CN16," - ")</f>
        <v>0</v>
      </c>
      <c r="K16" s="230">
        <f t="shared" si="3"/>
        <v>-1.9267822736030827E-2</v>
      </c>
      <c r="L16" s="1025">
        <f>IF(ISNUMBER(NºAsuntos!I16/NºAsuntos!G16),(NºAsuntos!I16/NºAsuntos!G16)*11," - ")</f>
        <v>18.003215434083604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98</v>
      </c>
      <c r="D17" s="225">
        <f>IF(ISNUMBER(IF(D_I="SI",Datos!I17,Datos!I17+Datos!AC17)),IF(D_I="SI",Datos!I17,Datos!I17+Datos!AC17)," - ")</f>
        <v>97</v>
      </c>
      <c r="E17" s="226">
        <f>IF(ISNUMBER(IF(D_I="SI",Datos!J17,Datos!J17+Datos!AD17)),IF(D_I="SI",Datos!J17,Datos!J17+Datos!AD17)," - ")</f>
        <v>34</v>
      </c>
      <c r="F17" s="226">
        <f>IF(ISNUMBER(IF(D_I="SI",Datos!K17,Datos!K17+Datos!AE17)),IF(D_I="SI",Datos!K17,Datos!K17+Datos!AE17)," - ")</f>
        <v>37</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-3.0612244897959183E-2</v>
      </c>
      <c r="L17" s="1025">
        <f>IF(ISNUMBER(NºAsuntos!I17/NºAsuntos!G17),(NºAsuntos!I17/NºAsuntos!G17)*11," - ")</f>
        <v>28.243243243243242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617</v>
      </c>
      <c r="D18" s="1049">
        <f>SUBTOTAL(9,D15:D17)</f>
        <v>612</v>
      </c>
      <c r="E18" s="1050">
        <f>SUBTOTAL(9,E15:E17)</f>
        <v>335</v>
      </c>
      <c r="F18" s="1050">
        <f>SUBTOTAL(9,F15:F17)</f>
        <v>348</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639</v>
      </c>
      <c r="D19" s="1071">
        <f>SUBTOTAL(9,D9:D18)</f>
        <v>634</v>
      </c>
      <c r="E19" s="1072">
        <f>SUBTOTAL(9,E9:E18)</f>
        <v>336</v>
      </c>
      <c r="F19" s="1072">
        <f>SUBTOTAL(9,F9:F18)</f>
        <v>349</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dFXdaM5q/Izcn+Ff880StDs4KyIifhu3zF+7iUDQm1jr+sCIrIGh9wkRbcmA04fcNaoIXsR95qA/ICLPmzMCQ==" saltValue="q4hDO9sjtXw6croW1N+GA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l+04NZpQep7nqomcbbgVVcp4zxwmivspn7oYR+Kuv5R0x/sv+mYJ+QluAJ0bD/+RQmCq3EjXB5iHaX81QKHew==" saltValue="7+mLO7cjrsmpZaOOIbX9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1</v>
      </c>
      <c r="K10" s="181">
        <v>1</v>
      </c>
      <c r="L10" s="181">
        <v>22</v>
      </c>
      <c r="M10" s="181">
        <v>1</v>
      </c>
      <c r="N10" s="181">
        <v>0</v>
      </c>
      <c r="O10" s="181">
        <v>0</v>
      </c>
      <c r="P10" s="181">
        <v>0</v>
      </c>
      <c r="Q10" s="181">
        <v>0</v>
      </c>
      <c r="R10" s="181">
        <v>0</v>
      </c>
      <c r="S10" s="181">
        <v>19</v>
      </c>
      <c r="T10" s="181">
        <v>2</v>
      </c>
      <c r="U10" s="181">
        <v>0</v>
      </c>
      <c r="V10" s="181">
        <v>21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19</v>
      </c>
      <c r="AZ10" s="129">
        <f t="shared" si="0"/>
        <v>2</v>
      </c>
      <c r="BA10" s="129">
        <f t="shared" si="0"/>
        <v>0</v>
      </c>
      <c r="BB10" s="129">
        <f t="shared" si="0"/>
        <v>21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1030</v>
      </c>
      <c r="J12" s="183">
        <v>523</v>
      </c>
      <c r="K12" s="183">
        <v>338</v>
      </c>
      <c r="L12" s="183">
        <v>1215</v>
      </c>
      <c r="M12" s="183">
        <v>107</v>
      </c>
      <c r="N12" s="183">
        <v>13</v>
      </c>
      <c r="O12" s="181">
        <v>30</v>
      </c>
      <c r="P12" s="183">
        <v>88</v>
      </c>
      <c r="Q12" s="183">
        <v>136</v>
      </c>
      <c r="R12" s="183">
        <v>1632</v>
      </c>
      <c r="S12" s="183">
        <v>864</v>
      </c>
      <c r="T12" s="183">
        <v>361</v>
      </c>
      <c r="U12" s="183">
        <v>321</v>
      </c>
      <c r="V12" s="183">
        <v>902</v>
      </c>
      <c r="W12" s="183">
        <v>95</v>
      </c>
      <c r="X12" s="189">
        <v>136</v>
      </c>
      <c r="Y12" s="191">
        <v>46</v>
      </c>
      <c r="Z12" s="181">
        <v>17</v>
      </c>
      <c r="AA12" s="181">
        <v>13</v>
      </c>
      <c r="AB12" s="181">
        <v>50</v>
      </c>
      <c r="AC12" s="183">
        <v>0</v>
      </c>
      <c r="AD12" s="183">
        <v>0</v>
      </c>
      <c r="AE12" s="183">
        <v>0</v>
      </c>
      <c r="AF12" s="189">
        <v>0</v>
      </c>
      <c r="AG12" s="202">
        <v>55</v>
      </c>
      <c r="AH12" s="183">
        <v>32</v>
      </c>
      <c r="AI12" s="183">
        <v>23</v>
      </c>
      <c r="AJ12" s="203">
        <v>64</v>
      </c>
      <c r="AK12" s="182">
        <v>0</v>
      </c>
      <c r="AL12" s="183">
        <v>0</v>
      </c>
      <c r="AM12" s="183">
        <v>0</v>
      </c>
      <c r="AN12" s="189">
        <v>0</v>
      </c>
      <c r="AO12" s="259">
        <v>2</v>
      </c>
      <c r="AP12" s="155">
        <v>2</v>
      </c>
      <c r="AQ12" s="155">
        <v>2</v>
      </c>
      <c r="AR12" s="154">
        <v>2</v>
      </c>
      <c r="AS12" s="340" t="s">
        <v>801</v>
      </c>
      <c r="AT12" s="203"/>
      <c r="AU12" s="202"/>
      <c r="AV12" s="203"/>
      <c r="AW12" s="202"/>
      <c r="AX12" s="203"/>
      <c r="AY12" s="126">
        <f t="shared" si="1"/>
        <v>919</v>
      </c>
      <c r="AZ12" s="127">
        <f t="shared" si="1"/>
        <v>393</v>
      </c>
      <c r="BA12" s="127">
        <f t="shared" si="1"/>
        <v>344</v>
      </c>
      <c r="BB12" s="127">
        <f t="shared" si="1"/>
        <v>966</v>
      </c>
      <c r="BC12" s="125">
        <f>IF(ISNUMBER(X12),X12," - ")</f>
        <v>136</v>
      </c>
      <c r="BD12" s="126">
        <f t="shared" si="2"/>
        <v>0.87531806615776087</v>
      </c>
      <c r="BE12" s="127">
        <f t="shared" si="3"/>
        <v>2.808139534883721</v>
      </c>
      <c r="BF12" s="127">
        <f t="shared" si="4"/>
        <v>0.39534883720930231</v>
      </c>
      <c r="BG12" s="196">
        <f t="shared" si="5"/>
        <v>3.8139534883720931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1052</v>
      </c>
      <c r="J13" s="184">
        <f t="shared" si="6"/>
        <v>524</v>
      </c>
      <c r="K13" s="184">
        <f t="shared" si="6"/>
        <v>339</v>
      </c>
      <c r="L13" s="184">
        <f t="shared" si="6"/>
        <v>1237</v>
      </c>
      <c r="M13" s="184">
        <f t="shared" si="6"/>
        <v>108</v>
      </c>
      <c r="N13" s="184">
        <f t="shared" si="6"/>
        <v>13</v>
      </c>
      <c r="O13" s="184">
        <f t="shared" si="6"/>
        <v>30</v>
      </c>
      <c r="P13" s="184">
        <f t="shared" si="6"/>
        <v>88</v>
      </c>
      <c r="Q13" s="184">
        <f t="shared" si="6"/>
        <v>136</v>
      </c>
      <c r="R13" s="184">
        <f t="shared" si="6"/>
        <v>1632</v>
      </c>
      <c r="S13" s="184">
        <f t="shared" si="6"/>
        <v>883</v>
      </c>
      <c r="T13" s="184">
        <f t="shared" si="6"/>
        <v>363</v>
      </c>
      <c r="U13" s="184">
        <f t="shared" si="6"/>
        <v>321</v>
      </c>
      <c r="V13" s="184">
        <f t="shared" si="6"/>
        <v>923</v>
      </c>
      <c r="W13" s="184">
        <f t="shared" si="6"/>
        <v>95</v>
      </c>
      <c r="X13" s="184">
        <f t="shared" si="6"/>
        <v>136</v>
      </c>
      <c r="Y13" s="184">
        <f t="shared" si="6"/>
        <v>46</v>
      </c>
      <c r="Z13" s="184">
        <f t="shared" si="6"/>
        <v>17</v>
      </c>
      <c r="AA13" s="184">
        <f t="shared" si="6"/>
        <v>13</v>
      </c>
      <c r="AB13" s="184">
        <f t="shared" si="6"/>
        <v>50</v>
      </c>
      <c r="AC13" s="184">
        <f t="shared" si="6"/>
        <v>0</v>
      </c>
      <c r="AD13" s="184">
        <f t="shared" si="6"/>
        <v>0</v>
      </c>
      <c r="AE13" s="184">
        <f t="shared" si="6"/>
        <v>0</v>
      </c>
      <c r="AF13" s="184">
        <f>SUBTOTAL(9,AF9:AF12)</f>
        <v>0</v>
      </c>
      <c r="AG13" s="184">
        <f t="shared" ref="AG13:AT13" si="7">SUBTOTAL(9,AG8:AG12)</f>
        <v>55</v>
      </c>
      <c r="AH13" s="184">
        <f t="shared" si="7"/>
        <v>32</v>
      </c>
      <c r="AI13" s="184">
        <f t="shared" si="7"/>
        <v>23</v>
      </c>
      <c r="AJ13" s="184">
        <f t="shared" si="7"/>
        <v>64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938</v>
      </c>
      <c r="AZ13" s="184">
        <f>SUBTOTAL(9,AZ8:AZ12)</f>
        <v>395</v>
      </c>
      <c r="BA13" s="184">
        <f>SUBTOTAL(9,BA8:BA12)</f>
        <v>344</v>
      </c>
      <c r="BB13" s="184">
        <f>SUBTOTAL(9,BB8:BB12)</f>
        <v>987</v>
      </c>
      <c r="BC13" s="184">
        <f>SUBTOTAL(9,BC8:BC12)</f>
        <v>136</v>
      </c>
      <c r="BD13" s="205">
        <f>IF(ISNUMBER(BA13/AZ13),BA13/AZ13," - ")</f>
        <v>0.87088607594936707</v>
      </c>
      <c r="BE13" s="206">
        <f>IF(ISNUMBER(BB13/BA13),BB13/BA13, " - ")</f>
        <v>2.8691860465116279</v>
      </c>
      <c r="BF13" s="206">
        <f>IF(ISNUMBER(BC13/BA13),BC13/BA13, " - ")</f>
        <v>0.39534883720930231</v>
      </c>
      <c r="BG13" s="207">
        <f>IF(ISNUMBER((AY13+AZ13)/BA13),(AY13+AZ13)/BA13," - ")</f>
        <v>3.875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515</v>
      </c>
      <c r="J16" s="183">
        <v>301</v>
      </c>
      <c r="K16" s="183">
        <v>311</v>
      </c>
      <c r="L16" s="183">
        <v>509</v>
      </c>
      <c r="M16" s="183">
        <v>30</v>
      </c>
      <c r="N16" s="183">
        <v>219</v>
      </c>
      <c r="O16" s="181">
        <v>0</v>
      </c>
      <c r="P16" s="183">
        <v>5</v>
      </c>
      <c r="Q16" s="183">
        <v>0</v>
      </c>
      <c r="R16" s="183">
        <v>66</v>
      </c>
      <c r="S16" s="183">
        <v>568</v>
      </c>
      <c r="T16" s="183">
        <v>313</v>
      </c>
      <c r="U16" s="183">
        <v>271</v>
      </c>
      <c r="V16" s="183">
        <v>610</v>
      </c>
      <c r="W16" s="183">
        <v>38</v>
      </c>
      <c r="X16" s="189">
        <v>156</v>
      </c>
      <c r="Y16" s="202">
        <v>0</v>
      </c>
      <c r="Z16" s="183">
        <v>0</v>
      </c>
      <c r="AA16" s="183">
        <v>0</v>
      </c>
      <c r="AB16" s="183">
        <v>0</v>
      </c>
      <c r="AC16" s="183">
        <v>3</v>
      </c>
      <c r="AD16" s="183">
        <v>1</v>
      </c>
      <c r="AE16" s="183">
        <v>1</v>
      </c>
      <c r="AF16" s="189">
        <v>3</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568</v>
      </c>
      <c r="AZ16" s="127">
        <f t="shared" si="9"/>
        <v>313</v>
      </c>
      <c r="BA16" s="127">
        <f t="shared" si="9"/>
        <v>271</v>
      </c>
      <c r="BB16" s="127">
        <f t="shared" si="9"/>
        <v>610</v>
      </c>
      <c r="BC16" s="125">
        <f>IF(ISNUMBER(W16),W16," - ")</f>
        <v>38</v>
      </c>
      <c r="BD16" s="126">
        <f t="shared" ref="BD16" si="11">IF(ISNUMBER(BA16/AZ16),BA16/AZ16," - ")</f>
        <v>0.86581469648562304</v>
      </c>
      <c r="BE16" s="127">
        <f t="shared" ref="BE16" si="12">IF(ISNUMBER(BB16/BA16),BB16/BA16, " - ")</f>
        <v>2.2509225092250924</v>
      </c>
      <c r="BF16" s="127">
        <f t="shared" ref="BF16" si="13">IF(ISNUMBER(BC16/BA16),BC16/BA16, " - ")</f>
        <v>0.14022140221402213</v>
      </c>
      <c r="BG16" s="196">
        <f t="shared" si="10"/>
        <v>3.2509225092250924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34</v>
      </c>
      <c r="K17" s="183">
        <v>37</v>
      </c>
      <c r="L17" s="183">
        <v>95</v>
      </c>
      <c r="M17" s="183">
        <v>4</v>
      </c>
      <c r="N17" s="183">
        <v>21</v>
      </c>
      <c r="O17" s="183">
        <v>0</v>
      </c>
      <c r="P17" s="183">
        <v>0</v>
      </c>
      <c r="Q17" s="183">
        <v>0</v>
      </c>
      <c r="R17" s="183">
        <v>0</v>
      </c>
      <c r="S17" s="183">
        <v>87</v>
      </c>
      <c r="T17" s="183">
        <v>17</v>
      </c>
      <c r="U17" s="183">
        <v>16</v>
      </c>
      <c r="V17" s="183">
        <v>88</v>
      </c>
      <c r="W17" s="183">
        <v>2</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87</v>
      </c>
      <c r="AZ17" s="129">
        <f t="shared" si="14"/>
        <v>17</v>
      </c>
      <c r="BA17" s="129">
        <f t="shared" si="14"/>
        <v>16</v>
      </c>
      <c r="BB17" s="129">
        <f t="shared" si="14"/>
        <v>88</v>
      </c>
      <c r="BC17" s="125">
        <f>IF(ISNUMBER(W17),W17," - ")</f>
        <v>2</v>
      </c>
      <c r="BD17" s="126">
        <f>IF(ISNUMBER(BA17/AZ17),BA17/AZ17," - ")</f>
        <v>0.94117647058823528</v>
      </c>
      <c r="BE17" s="127">
        <f>IF(ISNUMBER(BB17/BA17),BB17/BA17, " - ")</f>
        <v>5.5</v>
      </c>
      <c r="BF17" s="127">
        <f>IF(ISNUMBER(BC17/BA17),BC17/BA17, " - ")</f>
        <v>0.125</v>
      </c>
      <c r="BG17" s="196">
        <f>IF(ISNUMBER((AY17+AZ17)/BA17),(AY17+AZ17)/BA17," - ")</f>
        <v>6.5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612</v>
      </c>
      <c r="J18" s="184">
        <f t="shared" si="15"/>
        <v>335</v>
      </c>
      <c r="K18" s="184">
        <f t="shared" si="15"/>
        <v>348</v>
      </c>
      <c r="L18" s="184">
        <f t="shared" si="15"/>
        <v>604</v>
      </c>
      <c r="M18" s="184">
        <f t="shared" si="15"/>
        <v>34</v>
      </c>
      <c r="N18" s="184">
        <f t="shared" si="15"/>
        <v>240</v>
      </c>
      <c r="O18" s="184">
        <f t="shared" si="15"/>
        <v>0</v>
      </c>
      <c r="P18" s="184">
        <f t="shared" si="15"/>
        <v>5</v>
      </c>
      <c r="Q18" s="184">
        <f t="shared" si="15"/>
        <v>0</v>
      </c>
      <c r="R18" s="184">
        <f t="shared" si="15"/>
        <v>66</v>
      </c>
      <c r="S18" s="184">
        <f t="shared" si="15"/>
        <v>655</v>
      </c>
      <c r="T18" s="184">
        <f t="shared" si="15"/>
        <v>330</v>
      </c>
      <c r="U18" s="184">
        <f t="shared" si="15"/>
        <v>287</v>
      </c>
      <c r="V18" s="184">
        <f t="shared" si="15"/>
        <v>698</v>
      </c>
      <c r="W18" s="184">
        <f t="shared" si="15"/>
        <v>40</v>
      </c>
      <c r="X18" s="184">
        <f t="shared" si="15"/>
        <v>164</v>
      </c>
      <c r="Y18" s="184">
        <f t="shared" si="15"/>
        <v>0</v>
      </c>
      <c r="Z18" s="184">
        <f t="shared" si="15"/>
        <v>0</v>
      </c>
      <c r="AA18" s="184">
        <f t="shared" si="15"/>
        <v>0</v>
      </c>
      <c r="AB18" s="184">
        <f t="shared" si="15"/>
        <v>0</v>
      </c>
      <c r="AC18" s="184">
        <f t="shared" si="15"/>
        <v>3</v>
      </c>
      <c r="AD18" s="184">
        <f t="shared" si="15"/>
        <v>1</v>
      </c>
      <c r="AE18" s="184">
        <f t="shared" si="15"/>
        <v>1</v>
      </c>
      <c r="AF18" s="184">
        <f t="shared" si="15"/>
        <v>3</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655</v>
      </c>
      <c r="AZ18" s="184">
        <f>SUBTOTAL(9,AZ14:AZ17)</f>
        <v>330</v>
      </c>
      <c r="BA18" s="184">
        <f>SUBTOTAL(9,BA14:BA17)</f>
        <v>287</v>
      </c>
      <c r="BB18" s="184">
        <f>SUBTOTAL(9,BB14:BB17)</f>
        <v>698</v>
      </c>
      <c r="BC18" s="184">
        <f>SUBTOTAL(9,BC14:BC17)</f>
        <v>40</v>
      </c>
      <c r="BD18" s="205">
        <f>IF(ISNUMBER(BA18/AZ18),BA18/AZ18," - ")</f>
        <v>0.86969696969696975</v>
      </c>
      <c r="BE18" s="206">
        <f>IF(ISNUMBER(BB18/BA18),BB18/BA18, " - ")</f>
        <v>2.4320557491289199</v>
      </c>
      <c r="BF18" s="206">
        <f>IF(ISNUMBER(BC18/BA18),BC18/BA18, " - ")</f>
        <v>0.13937282229965156</v>
      </c>
      <c r="BG18" s="207">
        <f>IF(ISNUMBER((AY18+AZ18)/BA18),(AY18+AZ18)/BA18," - ")</f>
        <v>3.4320557491289199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1664</v>
      </c>
      <c r="J19" s="134">
        <f t="shared" si="18"/>
        <v>859</v>
      </c>
      <c r="K19" s="134">
        <f t="shared" si="18"/>
        <v>687</v>
      </c>
      <c r="L19" s="134">
        <f t="shared" si="18"/>
        <v>1841</v>
      </c>
      <c r="M19" s="134">
        <f t="shared" si="18"/>
        <v>142</v>
      </c>
      <c r="N19" s="134">
        <f t="shared" si="18"/>
        <v>253</v>
      </c>
      <c r="O19" s="134">
        <f t="shared" si="18"/>
        <v>30</v>
      </c>
      <c r="P19" s="134">
        <f t="shared" si="18"/>
        <v>93</v>
      </c>
      <c r="Q19" s="134">
        <f t="shared" si="18"/>
        <v>136</v>
      </c>
      <c r="R19" s="134">
        <f t="shared" si="18"/>
        <v>1698</v>
      </c>
      <c r="S19" s="134">
        <f t="shared" si="18"/>
        <v>1538</v>
      </c>
      <c r="T19" s="134">
        <f t="shared" si="18"/>
        <v>693</v>
      </c>
      <c r="U19" s="134">
        <f t="shared" si="18"/>
        <v>608</v>
      </c>
      <c r="V19" s="134">
        <f t="shared" si="18"/>
        <v>1621</v>
      </c>
      <c r="W19" s="134">
        <f t="shared" si="18"/>
        <v>135</v>
      </c>
      <c r="X19" s="134">
        <f t="shared" si="18"/>
        <v>300</v>
      </c>
      <c r="Y19" s="134">
        <f t="shared" si="18"/>
        <v>46</v>
      </c>
      <c r="Z19" s="134">
        <f t="shared" si="18"/>
        <v>17</v>
      </c>
      <c r="AA19" s="134">
        <f t="shared" si="18"/>
        <v>13</v>
      </c>
      <c r="AB19" s="134">
        <f t="shared" si="18"/>
        <v>50</v>
      </c>
      <c r="AC19" s="134">
        <f t="shared" si="18"/>
        <v>3</v>
      </c>
      <c r="AD19" s="134">
        <f t="shared" si="18"/>
        <v>1</v>
      </c>
      <c r="AE19" s="134">
        <f t="shared" si="18"/>
        <v>1</v>
      </c>
      <c r="AF19" s="134">
        <f t="shared" si="18"/>
        <v>3</v>
      </c>
      <c r="AG19" s="134">
        <f t="shared" si="18"/>
        <v>55</v>
      </c>
      <c r="AH19" s="134">
        <f t="shared" si="18"/>
        <v>32</v>
      </c>
      <c r="AI19" s="134">
        <f t="shared" si="18"/>
        <v>23</v>
      </c>
      <c r="AJ19" s="134">
        <f t="shared" si="18"/>
        <v>64</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1593</v>
      </c>
      <c r="AZ19" s="134">
        <f>SUBTOTAL(9,AZ9:AZ18)</f>
        <v>725</v>
      </c>
      <c r="BA19" s="134">
        <f>SUBTOTAL(9,BA9:BA18)</f>
        <v>631</v>
      </c>
      <c r="BB19" s="134">
        <f>SUBTOTAL(9,BB9:BB18)</f>
        <v>1685</v>
      </c>
      <c r="BC19" s="135">
        <f>SUBTOTAL(9,BC9:BC18)</f>
        <v>176</v>
      </c>
      <c r="BD19" s="213">
        <f>IF(ISNUMBER(BA19/AZ19),BA19/AZ19," - ")</f>
        <v>0.8703448275862069</v>
      </c>
      <c r="BE19" s="210">
        <f>IF(ISNUMBER(BB19/BA19),BB19/BA19, " - ")</f>
        <v>2.6703645007923931</v>
      </c>
      <c r="BF19" s="210">
        <f>IF(ISNUMBER(BC19/BA19),BC19/BA19, " - ")</f>
        <v>0.27892234548335976</v>
      </c>
      <c r="BG19" s="135">
        <f>IF(ISNUMBER((AY19+AZ19)/BA19),(AY19+AZ19)/BA19," - ")</f>
        <v>3.6735340729001584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5409/BdrEBi9BlVggPqYfXRkEG2uSQFbgbc9uL+WTE/GfUXvY678Cb77HKK85pEX0OGfKFoKD9GAiYfU5G5dA==" saltValue="7dVCT+jt/y2oZsDBbSNLW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4hwiT4a7SOaRpvVHXf0CHFvM7Mr3Clx5gj+1Xpjm8s78ipvFjBrrzs3SHZh9ZOmPlXbEurmenaiTHmDPjfPcA==" saltValue="PtKA6aDgJwSsV1QKxubmB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1632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v>
      </c>
      <c r="BH12" s="260">
        <f>IF(ISNUMBER(((IF(J_V="SI",Datos!L12/Datos!K12,(Datos!L12+Datos!AB12)/(Datos!K12+Datos!AA12)))*11)/factor_trimestre),((IF(J_V="SI",Datos!L12/Datos!K12,(Datos!L12+Datos!AB12)/(Datos!K12+Datos!AA12)))*11)/factor_trimestre," - ")</f>
        <v>10.811965811965811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-2.8571428571428571E-2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136</v>
      </c>
      <c r="AD13" s="899">
        <f t="shared" si="1"/>
        <v>0</v>
      </c>
      <c r="AE13" s="899">
        <f t="shared" si="1"/>
        <v>0</v>
      </c>
      <c r="AF13" s="899">
        <f t="shared" si="1"/>
        <v>22</v>
      </c>
      <c r="AG13" s="899">
        <f t="shared" si="1"/>
        <v>0</v>
      </c>
      <c r="AH13" s="899">
        <f t="shared" si="1"/>
        <v>50</v>
      </c>
      <c r="AI13" s="899">
        <f t="shared" si="1"/>
        <v>0</v>
      </c>
      <c r="AJ13" s="899">
        <f t="shared" si="1"/>
        <v>0</v>
      </c>
      <c r="AK13" s="899">
        <f t="shared" si="1"/>
        <v>0</v>
      </c>
      <c r="AL13" s="899">
        <f t="shared" si="1"/>
        <v>0</v>
      </c>
      <c r="AM13" s="899">
        <f t="shared" si="1"/>
        <v>1632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v>
      </c>
      <c r="BD13" s="899">
        <f t="shared" si="1"/>
        <v>13</v>
      </c>
      <c r="BE13" s="899">
        <f t="shared" si="1"/>
        <v>0</v>
      </c>
      <c r="BF13" s="899">
        <f t="shared" si="1"/>
        <v>0</v>
      </c>
      <c r="BG13" s="899">
        <f>IF(ISNUMBER(Datos!K13/Datos!J13),Datos!K13/Datos!J13," - ")</f>
        <v>0.64694656488549618</v>
      </c>
      <c r="BH13" s="903">
        <f>IF(ISNUMBER(((Datos!L13/Datos!K13)*11)/factor_trimestre),((Datos!L13/Datos!K13)*11)/factor_trimestre," - ")</f>
        <v>10.946902654867257</v>
      </c>
      <c r="BI13" s="899">
        <f>IF(ISNUMBER('Resol  Asuntos'!D13/NºAsuntos!G13),'Resol  Asuntos'!D13/NºAsuntos!G13," - ")</f>
        <v>0.30681818181818182</v>
      </c>
      <c r="BJ13" s="899" t="str">
        <f>IF(ISNUMBER(Datos!CI13/Datos!CJ13),Datos!CI13/Datos!CJ13," - ")</f>
        <v xml:space="preserve"> - </v>
      </c>
      <c r="BK13" s="899">
        <f>SUBTOTAL(9,BK8:BK12)</f>
        <v>0</v>
      </c>
      <c r="BL13" s="899">
        <f>IF(ISNUMBER((I13-AB13+L13)/(F13)),(I13-AB13+L13)/(F13)," - ")</f>
        <v>-4.5454545454545456E-2</v>
      </c>
      <c r="BM13" s="904">
        <f>SUBTOTAL(9,BM9:BM12)</f>
        <v>-2.8571428571428571E-2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519</v>
      </c>
      <c r="G16" s="598">
        <f>IF(ISNUMBER(IF(D_I="SI",Datos!I16,Datos!I16+Datos!AC16)),IF(D_I="SI",Datos!I16,Datos!I16+Datos!AC16)," - ")</f>
        <v>515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311</v>
      </c>
      <c r="AC16" s="226">
        <f>IF(ISNUMBER(Datos!Q16),Datos!Q16," - ")</f>
        <v>0</v>
      </c>
      <c r="AD16" s="334"/>
      <c r="AE16" s="484"/>
      <c r="AF16" s="596">
        <f>IF(ISNUMBER(IF(D_I="SI",Datos!L16,Datos!L16+Datos!AF16)),IF(D_I="SI",Datos!L16,Datos!L16+Datos!AF16)," - ")</f>
        <v>509</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219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1.0332225913621262</v>
      </c>
      <c r="BH16" s="260">
        <f>IF(ISNUMBER(((IF(D_I="SI",Datos!L16/Datos!K16,(Datos!L16+Datos!AF16)/(Datos!K16+Datos!AE16)))*11)/factor_trimestre),((IF(D_I="SI",Datos!L16/Datos!K16,(Datos!L16+Datos!AF16)/(Datos!K16+Datos!AE16)))*11)/factor_trimestre," - ")</f>
        <v>4.9099678456591649</v>
      </c>
      <c r="BI16" s="243">
        <f>IF(ISNUMBER('Resol  Asuntos'!D16/NºAsuntos!G16),'Resol  Asuntos'!D16/NºAsuntos!G16," - ")</f>
        <v>9.6463022508038579E-2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0</v>
      </c>
      <c r="AD17" s="334"/>
      <c r="AE17" s="484"/>
      <c r="AF17" s="332">
        <f>IF(ISNUMBER(Datos!L17),Datos!L17,"-")</f>
        <v>95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1.088235294117647</v>
      </c>
      <c r="BH17" s="260">
        <f>IF(ISNUMBER(((IF(D_I="SI",Datos!L17/Datos!K17,(Datos!L17+Datos!AF17)/(Datos!K17+Datos!AE17)))*11)/factor_trimestre),((IF(D_I="SI",Datos!L17/Datos!K17,(Datos!L17+Datos!AF17)/(Datos!K17+Datos!AE17)))*11)/factor_trimestre," - ")</f>
        <v>7.7027027027027026</v>
      </c>
      <c r="BI17" s="243">
        <f>IF(ISNUMBER('Resol  Asuntos'!D17/NºAsuntos!G17),'Resol  Asuntos'!D17/NºAsuntos!G17," - ")</f>
        <v>0.10810810810810811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519</v>
      </c>
      <c r="G18" s="898">
        <f>SUBTOTAL(9,G15:G17)</f>
        <v>612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348</v>
      </c>
      <c r="AC18" s="899">
        <f t="shared" si="4"/>
        <v>0</v>
      </c>
      <c r="AD18" s="899">
        <f t="shared" si="4"/>
        <v>0</v>
      </c>
      <c r="AE18" s="899">
        <f t="shared" si="4"/>
        <v>0</v>
      </c>
      <c r="AF18" s="899">
        <f t="shared" si="4"/>
        <v>604</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240</v>
      </c>
      <c r="BE18" s="899">
        <f t="shared" si="4"/>
        <v>0</v>
      </c>
      <c r="BF18" s="899">
        <f t="shared" si="4"/>
        <v>0</v>
      </c>
      <c r="BG18" s="899">
        <f>IF(ISNUMBER(Datos!K18/Datos!J18),Datos!K18/Datos!J18," - ")</f>
        <v>1.0388059701492538</v>
      </c>
      <c r="BH18" s="903">
        <f>IF(ISNUMBER(((Datos!L18/Datos!K18)*11)/factor_trimestre),((Datos!L18/Datos!K18)*11)/factor_trimestre," - ")</f>
        <v>5.2068965517241388</v>
      </c>
      <c r="BI18" s="899">
        <f>SUBTOTAL(9,BI15:BI17)</f>
        <v>0.20457113061614668</v>
      </c>
      <c r="BJ18" s="899">
        <f>SUBTOTAL(9,BJ15:BJ17)</f>
        <v>0</v>
      </c>
      <c r="BK18" s="899">
        <f>SUBTOTAL(9,BK15:BK17)</f>
        <v>0</v>
      </c>
      <c r="BL18" s="899">
        <f>IF(ISNUMBER((I18-AB18+L18)/(F18)),(I18-AB18+L18)/(F18)," - ")</f>
        <v>-0.67052023121387283</v>
      </c>
      <c r="BM18" s="905">
        <f>IF(ISNUMBER((Datos!P18-Datos!Q18)/(Datos!R18-Datos!P18+Datos!Q18)),(Datos!P18-Datos!Q18)/(Datos!R18-Datos!P18+Datos!Q18)," - ")</f>
        <v>8.1967213114754092E-2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541</v>
      </c>
      <c r="G19" s="820">
        <f t="shared" si="6"/>
        <v>634</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349</v>
      </c>
      <c r="AC19" s="821">
        <f t="shared" si="7"/>
        <v>136</v>
      </c>
      <c r="AD19" s="821">
        <f t="shared" si="7"/>
        <v>0</v>
      </c>
      <c r="AE19" s="821">
        <f t="shared" si="7"/>
        <v>0</v>
      </c>
      <c r="AF19" s="828">
        <f t="shared" si="7"/>
        <v>626</v>
      </c>
      <c r="AG19" s="828">
        <f t="shared" si="7"/>
        <v>0</v>
      </c>
      <c r="AH19" s="828">
        <f t="shared" si="7"/>
        <v>50</v>
      </c>
      <c r="AI19" s="828">
        <f t="shared" si="7"/>
        <v>0</v>
      </c>
      <c r="AJ19" s="821">
        <f t="shared" si="7"/>
        <v>0</v>
      </c>
      <c r="AK19" s="828">
        <f t="shared" si="7"/>
        <v>0</v>
      </c>
      <c r="AL19" s="828">
        <f t="shared" si="7"/>
        <v>0</v>
      </c>
      <c r="AM19" s="828">
        <f t="shared" si="7"/>
        <v>1698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142</v>
      </c>
      <c r="BD19" s="820">
        <f t="shared" si="7"/>
        <v>253</v>
      </c>
      <c r="BE19" s="820">
        <f t="shared" si="7"/>
        <v>0</v>
      </c>
      <c r="BF19" s="830">
        <f t="shared" si="7"/>
        <v>0</v>
      </c>
      <c r="BG19" s="915">
        <f>IF(ISNUMBER(Datos!K19/Datos!J19),Datos!K19/Datos!J19," - ")</f>
        <v>0.79976717112922002</v>
      </c>
      <c r="BH19" s="915">
        <f>IF(ISNUMBER(((Datos!L19/Datos!K19)*11)/factor_trimestre),((Datos!L19/Datos!K19)*11)/factor_trimestre," - ")</f>
        <v>8.039301310043669</v>
      </c>
      <c r="BI19" s="813">
        <f>IF(ISNUMBER(Datos!J19/Datos!I19),Datos!J19/Datos!I19," - ")</f>
        <v>0.51622596153846156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-0.64510166358595189</v>
      </c>
      <c r="BM19" s="889">
        <f>IF(ISNUMBER((Datos!P19-Datos!Q19+R19)/(Datos!R19-Datos!P19+Datos!Q19-R19)),(Datos!P19-Datos!Q19+R19)/(Datos!R19-Datos!P19+Datos!Q19-R19)," - ")</f>
        <v>-2.4698449167145319E-2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286.94308378724401</v>
      </c>
      <c r="G21" s="552">
        <f>IF(ISNUMBER(STDEV(G8:G18)),STDEV(G8:G18),"-")</f>
        <v>286.61001378179373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174.46718889235305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48.46304433964778</v>
      </c>
      <c r="BD21" s="551"/>
      <c r="BE21" s="551">
        <f>IF(ISNUMBER(STDEV(BE8:BE18)),STDEV(BE8:BE18),"-")</f>
        <v>0</v>
      </c>
      <c r="BF21" s="556">
        <f>IF(ISNUMBER(STDEV(BF8:BF18)),STDEV(BF8:BF18),"-")</f>
        <v>0</v>
      </c>
      <c r="BG21" s="775">
        <f>IF(ISNUMBER(STDEV(BG8:BG18)),STDEV(BG8:BG18),"-")</f>
        <v>0.20417561940833301</v>
      </c>
      <c r="BH21" s="776">
        <f>IF(ISNUMBER(STDEV(BH8:BH18)),STDEV(BH8:BH18),"-")</f>
        <v>23.855747558467179</v>
      </c>
      <c r="BI21" s="249">
        <f>IF(ISNUMBER(STDEV(BI8:BI18)),STDEV(BI8:BI18),"-")</f>
        <v>9.8029558335952963E-2</v>
      </c>
      <c r="BJ21" s="230" t="str">
        <f>IF(ISNUMBER(BL21/BM21),BL21/BM21," - ")</f>
        <v xml:space="preserve"> - </v>
      </c>
      <c r="BK21" s="575"/>
      <c r="BL21" s="559">
        <f>IF(ISNUMBER(STDEV(BL8:BL18)),STDEV(BL8:BL18),"-")</f>
        <v>0.44198818508743998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ZCKnB/9DHQyhd+OcV5y+QRvw2ZvpAhDlN7I+iQvgPzwH0YvC8tx2uZ6SmjQVQ/9Vbinx4FXoC3yRALhXVTJCw==" saltValue="pJtlYFVZJRW4a+wGIiY4W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VILLARROBLEDO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136</v>
      </c>
      <c r="AA12" s="332" t="str">
        <f>IF(ISNUMBER(IF(J_V="SI",Datos!L12,Datos!L12+Datos!AB12)-IF(Monitorios="SI",Datos!CD12,0)),
                          IF(J_V="SI",Datos!L12,Datos!L12+Datos!AB12)-IF(Monitorios="SI",Datos!CD12,0),
                          " - ")</f>
        <v xml:space="preserve"> - </v>
      </c>
      <c r="AB12" s="334"/>
      <c r="AC12" s="334"/>
      <c r="AD12" s="484"/>
      <c r="AE12" s="484">
        <f>IF(ISNUMBER(Datos!R12),Datos!R12," - ")</f>
        <v>1632</v>
      </c>
      <c r="AF12" s="229" t="str">
        <f>IF(ISNUMBER(Datos!BV12),Datos!BV12," - ")</f>
        <v xml:space="preserve"> - </v>
      </c>
      <c r="AG12" s="225" t="str">
        <f>IF(ISNUMBER(Datos!DV12),Datos!DV12," - ")</f>
        <v xml:space="preserve"> - </v>
      </c>
      <c r="AH12" s="298"/>
      <c r="AI12" s="227"/>
      <c r="AJ12" s="225">
        <f>IF(ISNUMBER(Datos!M12),Datos!M12," - ")</f>
        <v>107</v>
      </c>
      <c r="AK12" s="229">
        <f>IF(ISNUMBER(Datos!N12),Datos!N12," - ")</f>
        <v>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10.811965811965811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-2.8571428571428571E-2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136</v>
      </c>
      <c r="AA13" s="900">
        <f t="shared" si="2"/>
        <v>22</v>
      </c>
      <c r="AB13" s="900">
        <f t="shared" si="2"/>
        <v>0</v>
      </c>
      <c r="AC13" s="900">
        <f t="shared" si="2"/>
        <v>0</v>
      </c>
      <c r="AD13" s="900">
        <f t="shared" si="2"/>
        <v>0</v>
      </c>
      <c r="AE13" s="900">
        <f t="shared" si="2"/>
        <v>1632</v>
      </c>
      <c r="AF13" s="908">
        <f t="shared" si="2"/>
        <v>0</v>
      </c>
      <c r="AG13" s="908">
        <f t="shared" si="2"/>
        <v>0</v>
      </c>
      <c r="AH13" s="908">
        <f t="shared" si="2"/>
        <v>0</v>
      </c>
      <c r="AI13" s="908">
        <f t="shared" si="2"/>
        <v>0</v>
      </c>
      <c r="AJ13" s="908">
        <f t="shared" si="2"/>
        <v>108</v>
      </c>
      <c r="AK13" s="908">
        <f t="shared" si="2"/>
        <v>13</v>
      </c>
      <c r="AL13" s="908">
        <f t="shared" si="2"/>
        <v>0</v>
      </c>
      <c r="AM13" s="908">
        <f t="shared" si="2"/>
        <v>0</v>
      </c>
      <c r="AN13" s="908">
        <f t="shared" si="2"/>
        <v>0</v>
      </c>
      <c r="AO13" s="904">
        <f>IF(ISNUMBER(((NºAsuntos!I13/NºAsuntos!G13)*11)/factor_trimestre),((NºAsuntos!I13/NºAsuntos!G13)*11)/factor_trimestre," - ")</f>
        <v>10.96875</v>
      </c>
      <c r="AP13" s="910" t="str">
        <f>IF(ISNUMBER(Datos!CI13/Datos!CJ13),Datos!CI13/Datos!CJ13," - ")</f>
        <v xml:space="preserve"> - </v>
      </c>
      <c r="AQ13" s="928">
        <f t="shared" ref="AQ13:AV13" si="3">SUBTOTAL(9,AQ9:AQ12)</f>
        <v>0</v>
      </c>
      <c r="AR13" s="928">
        <f t="shared" si="3"/>
        <v>-2.8571428571428571E-2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519</v>
      </c>
      <c r="G16" s="225">
        <f>IF(ISNUMBER(IF(D_I="SI",Datos!I16,Datos!I16+Datos!AC16)),IF(D_I="SI",Datos!I16,Datos!I16+Datos!AC16)," - ")</f>
        <v>515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311</v>
      </c>
      <c r="Z16" s="619">
        <f>IF(ISNUMBER(Datos!Q16),Datos!Q16," - ")</f>
        <v>0</v>
      </c>
      <c r="AA16" s="332">
        <f>IF(ISNUMBER(IF(D_I="SI",Datos!L16,Datos!L16+Datos!AF16)),IF(D_I="SI",Datos!L16,Datos!L16+Datos!AF16)," - ")</f>
        <v>509</v>
      </c>
      <c r="AB16" s="334"/>
      <c r="AC16" s="334"/>
      <c r="AD16" s="484"/>
      <c r="AE16" s="484">
        <f>IF(ISNUMBER(Datos!R16),Datos!R16," - ")</f>
        <v>66</v>
      </c>
      <c r="AF16" s="229" t="str">
        <f>IF(ISNUMBER(Datos!BV16),Datos!BV16," - ")</f>
        <v xml:space="preserve"> - </v>
      </c>
      <c r="AG16" s="225"/>
      <c r="AH16" s="298"/>
      <c r="AI16" s="227"/>
      <c r="AJ16" s="225">
        <f>IF(ISNUMBER(Datos!M16),Datos!M16," - ")</f>
        <v>30</v>
      </c>
      <c r="AK16" s="229">
        <f>IF(ISNUMBER(Datos!N16),Datos!N16," - ")</f>
        <v>219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4.9099678456591649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0</v>
      </c>
      <c r="AA17" s="332">
        <f>IF(ISNUMBER(Datos!L17),Datos!L17,"-")</f>
        <v>95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7.7027027027027026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519</v>
      </c>
      <c r="G18" s="898">
        <f>SUBTOTAL(9,G15:G17)</f>
        <v>612</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348</v>
      </c>
      <c r="Z18" s="932">
        <f t="shared" si="5"/>
        <v>0</v>
      </c>
      <c r="AA18" s="932">
        <f t="shared" si="5"/>
        <v>604</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34</v>
      </c>
      <c r="AK18" s="932">
        <f t="shared" si="5"/>
        <v>240</v>
      </c>
      <c r="AL18" s="932">
        <f t="shared" si="5"/>
        <v>0</v>
      </c>
      <c r="AM18" s="932">
        <f t="shared" si="5"/>
        <v>0</v>
      </c>
      <c r="AN18" s="932">
        <f t="shared" si="5"/>
        <v>0</v>
      </c>
      <c r="AO18" s="934">
        <f>IF(ISNUMBER(((NºAsuntos!I18/NºAsuntos!G18)*11)/factor_trimestre),((NºAsuntos!I18/NºAsuntos!G18)*11)/factor_trimestre," - ")</f>
        <v>5.2068965517241388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541</v>
      </c>
      <c r="G19" s="820">
        <f t="shared" si="7"/>
        <v>634</v>
      </c>
      <c r="H19" s="821">
        <f t="shared" si="7"/>
        <v>0</v>
      </c>
      <c r="I19" s="820">
        <f t="shared" si="7"/>
        <v>0</v>
      </c>
      <c r="J19" s="822">
        <f t="shared" si="7"/>
        <v>0</v>
      </c>
      <c r="K19" s="820">
        <f t="shared" si="7"/>
        <v>0</v>
      </c>
      <c r="L19" s="823">
        <f t="shared" si="7"/>
        <v>0</v>
      </c>
      <c r="M19" s="820">
        <f t="shared" si="7"/>
        <v>0</v>
      </c>
      <c r="N19" s="821">
        <f t="shared" si="7"/>
        <v>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349</v>
      </c>
      <c r="Z19" s="827">
        <f t="shared" si="8"/>
        <v>136</v>
      </c>
      <c r="AA19" s="828">
        <f t="shared" si="8"/>
        <v>626</v>
      </c>
      <c r="AB19" s="828">
        <f t="shared" si="8"/>
        <v>0</v>
      </c>
      <c r="AC19" s="828">
        <f t="shared" si="8"/>
        <v>0</v>
      </c>
      <c r="AD19" s="829">
        <f t="shared" si="8"/>
        <v>0</v>
      </c>
      <c r="AE19" s="829">
        <f t="shared" si="8"/>
        <v>1698</v>
      </c>
      <c r="AF19" s="830">
        <f t="shared" si="8"/>
        <v>0</v>
      </c>
      <c r="AG19" s="831">
        <f t="shared" si="8"/>
        <v>0</v>
      </c>
      <c r="AH19" s="832">
        <f t="shared" si="8"/>
        <v>0</v>
      </c>
      <c r="AI19" s="830">
        <f t="shared" si="8"/>
        <v>0</v>
      </c>
      <c r="AJ19" s="820">
        <f t="shared" si="8"/>
        <v>142</v>
      </c>
      <c r="AK19" s="820">
        <f t="shared" si="8"/>
        <v>253</v>
      </c>
      <c r="AL19" s="820">
        <f t="shared" si="8"/>
        <v>0</v>
      </c>
      <c r="AM19" s="833">
        <f t="shared" si="8"/>
        <v>0</v>
      </c>
      <c r="AN19" s="823">
        <f>IF(ISNUMBER(Datos!K19/Datos!J19),Datos!K19/Datos!J19," - ")</f>
        <v>0.79976717112922002</v>
      </c>
      <c r="AO19" s="823">
        <f>IF(ISNUMBER(FIND("06",Criterios!A8,1)),(IF(ISNUMBER(((Datos!R19/Datos!Q19)*11)/factor_trimestre),((Datos!R19/Datos!Q19)*11)/factor_trimestre," - ")),(IF(ISNUMBER(((Datos!L19/Datos!K19)*11)/factor_trimestre),((Datos!L19/Datos!K19)*11)/factor_trimestre," - ")))</f>
        <v>8.039301310043669</v>
      </c>
      <c r="AP19" s="834" t="str">
        <f>IF(ISNUMBER(Datos!CI19/Datos!CJ19),Datos!CI19/Datos!CJ19," - ")</f>
        <v xml:space="preserve"> - </v>
      </c>
      <c r="AQ19" s="834">
        <f>IF(OR(ISNUMBER(FIND("01",Criterios!A8,1)),ISNUMBER(FIND("02",Criterios!A8,1)),ISNUMBER(FIND("03",Criterios!A8,1)),ISNUMBER(FIND("04",Criterios!A8,1))),(J19-Y19+K19)/(F19-K19),(I19-Y19+K19)/(F19-K19))</f>
        <v>-0.64510166358595189</v>
      </c>
      <c r="AR19" s="834">
        <f>IF(ISNUMBER((Datos!P19-Datos!Q19+O19)/(Datos!R19-Datos!P19+Datos!Q19-O19)),(Datos!P19-Datos!Q19+O19)/(Datos!R19-Datos!P19+Datos!Q19-O19)," - ")</f>
        <v>-2.4698449167145319E-2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286.94308378724401</v>
      </c>
      <c r="G21" s="552">
        <f>IF(ISNUMBER(STDEV(G8:G18)),STDEV(G8:G18),"-")</f>
        <v>286.61001378179373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48.46304433964778</v>
      </c>
      <c r="AK21" s="252"/>
      <c r="AL21" s="252">
        <f>IF(ISNUMBER(STDEV(AL8:AL18)),STDEV(AL8:AL18),"-")</f>
        <v>0</v>
      </c>
      <c r="AM21" s="254">
        <f>IF(ISNUMBER(STDEV(AM8:AM18)),STDEV(AM8:AM18),"-")</f>
        <v>0</v>
      </c>
      <c r="AN21" s="539">
        <f>IF(ISNUMBER(STDEV(AN8:AN18)),STDEV(AN8:AN18),"-")</f>
        <v>0</v>
      </c>
      <c r="AO21" s="540">
        <f>IF(ISNUMBER(STDEV(AO8:AO18)),STDEV(AO8:AO18),"-")</f>
        <v>23.854531257754957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qFJe7ThXxjQvJxvBJKKxgdF7yfSBgZMbGzfaop9OzNXU8qnlxsfNb0faz6rhwJASKDUsm50TJFEdU+opau/7Q==" saltValue="9u6AcYokiRTw4Rr8VXckd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V8poxdXf1Ak04HDOVuIQZ6+zfXVLwj4H+WdFXbz5HZXH4GDRUe6fl+cDRr5Gudn2lNCbeNrPTB3NvkoEOdTg==" saltValue="UT8GO/CF+izOFYclcNCe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LQGqCkueUjVYbSmca1KwH3w94/9yA/eC2l4wSS7g3ejlDRIUn6v48suU8HGrLzkvTtYpP7ZUdDdPoHcdUjHw==" saltValue="uNrITWk8wWcY4VGWWyEjG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0.30681818181818182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0.21695321695496345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EHEKNYSi+enTa9sYpEMhgOxhcHJXu6y0L//H6lqJGgQHv9y767bGRi++a1XKBEFznMCJ2wQwmmhXC9vCIq7AA==" saltValue="1eysUy9kyxEJYOKBUiRDJ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K1xPe6SOzv0+HBV286HzrgM4fy6M5z4NcAgyivj3c4vC60BM2VtSgowmZHlGyhHeKt5CqKQ9BTLZVZFEqWXPQ==" saltValue="Fgd7VAX7ywRLqw6Rdw1R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VILLARROBLEDO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1</v>
      </c>
      <c r="F10" s="404">
        <f>IF(ISNUMBER(E10/B10),E10/B10," - ")</f>
        <v>1</v>
      </c>
      <c r="G10" s="403">
        <f>IF(ISNUMBER(Datos!K10),Datos!K10," - ")</f>
        <v>1</v>
      </c>
      <c r="H10" s="404">
        <f>IF(ISNUMBER(G10/B10),G10/B10," - ")</f>
        <v>1</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1076</v>
      </c>
      <c r="D12" s="404">
        <f>IF(ISNUMBER(C12/Datos!BH12),C12/Datos!BH12," - ")</f>
        <v>538</v>
      </c>
      <c r="E12" s="403">
        <f>IF(ISNUMBER(IF(J_V="SI",Datos!J12,Datos!J12+Datos!Z12)),IF(J_V="SI",Datos!J12,Datos!J12+Datos!Z12)," - ")</f>
        <v>540</v>
      </c>
      <c r="F12" s="404">
        <f>IF(ISNUMBER(E12/B12),E12/B12," - ")</f>
        <v>270</v>
      </c>
      <c r="G12" s="403">
        <f>IF(ISNUMBER(IF(J_V="SI",Datos!K12,Datos!K12+Datos!AA12)),IF(J_V="SI",Datos!K12,Datos!K12+Datos!AA12)," - ")</f>
        <v>351</v>
      </c>
      <c r="H12" s="404">
        <f>IF(ISNUMBER(G12/B12),G12/B12," - ")</f>
        <v>175.5</v>
      </c>
      <c r="I12" s="403">
        <f>IF(ISNUMBER(IF(J_V="SI",Datos!L12,Datos!L12+Datos!AB12)),IF(J_V="SI",Datos!L12,Datos!L12+Datos!AB12)," - ")</f>
        <v>1265</v>
      </c>
      <c r="J12" s="404">
        <f>IF(ISNUMBER(I12/B12),I12/B12," - ")</f>
        <v>632.5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1098</v>
      </c>
      <c r="D13" s="850" t="str">
        <f>IF(ISNUMBER(C13/Datos!BI13),C13/Datos!BI13," - ")</f>
        <v xml:space="preserve"> - </v>
      </c>
      <c r="E13" s="849">
        <f>SUBTOTAL(9,E8:E12)</f>
        <v>541</v>
      </c>
      <c r="F13" s="850">
        <f>IF(ISNUMBER(E13/B13),E13/B13," - ")</f>
        <v>270.5</v>
      </c>
      <c r="G13" s="849">
        <f>SUBTOTAL(9,G8:G12)</f>
        <v>352</v>
      </c>
      <c r="H13" s="850">
        <f>IF(ISNUMBER(G13/B13),G13/B13," - ")</f>
        <v>176</v>
      </c>
      <c r="I13" s="849">
        <f>SUBTOTAL(9,I8:I12)</f>
        <v>1287</v>
      </c>
      <c r="J13" s="850">
        <f>IF(ISNUMBER(I13/B13),I13/B13," - ")</f>
        <v>643.5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515</v>
      </c>
      <c r="D16" s="404">
        <f>IF(ISNUMBER(C16/Datos!BH16),C16/Datos!BH16," - ")</f>
        <v>257.5</v>
      </c>
      <c r="E16" s="403">
        <f>IF(ISNUMBER(IF(D_I="SI",Datos!J16,Datos!J16+Datos!AD16)),IF(D_I="SI",Datos!J16,Datos!J16+Datos!AD16)," - ")</f>
        <v>301</v>
      </c>
      <c r="F16" s="404">
        <f>IF(ISNUMBER(E16/B16),E16/B16," - ")</f>
        <v>150.5</v>
      </c>
      <c r="G16" s="403">
        <f>IF(ISNUMBER(IF(D_I="SI",Datos!K16,Datos!K16+Datos!AE16)),IF(D_I="SI",Datos!K16,Datos!K16+Datos!AE16)," - ")</f>
        <v>311</v>
      </c>
      <c r="H16" s="404">
        <f>IF(ISNUMBER(G16/B16),G16/B16," - ")</f>
        <v>155.5</v>
      </c>
      <c r="I16" s="403">
        <f>IF(ISNUMBER(IF(D_I="SI",Datos!L16,Datos!L16+Datos!AF16)),IF(D_I="SI",Datos!L16,Datos!L16+Datos!AF16)," - ")</f>
        <v>509</v>
      </c>
      <c r="J16" s="404">
        <f>IF(ISNUMBER(I16/B16),I16/B16," - ")</f>
        <v>254.5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34</v>
      </c>
      <c r="F17" s="404">
        <f>IF(ISNUMBER(E17/B17),E17/B17," - ")</f>
        <v>34</v>
      </c>
      <c r="G17" s="403">
        <f>IF(ISNUMBER(IF(D_I="SI",Datos!K17,Datos!K17+Datos!AE17)),IF(D_I="SI",Datos!K17,Datos!K17+Datos!AE17)," - ")</f>
        <v>37</v>
      </c>
      <c r="H17" s="404">
        <f>IF(ISNUMBER(G17/B17),G17/B17," - ")</f>
        <v>37</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612</v>
      </c>
      <c r="D18" s="850" t="str">
        <f>IF(ISNUMBER(C18/Datos!BI18),C18/Datos!BI18," - ")</f>
        <v xml:space="preserve"> - </v>
      </c>
      <c r="E18" s="849">
        <f>SUBTOTAL(9,E14:E17)</f>
        <v>335</v>
      </c>
      <c r="F18" s="850">
        <f>IF(ISNUMBER(E18/B18),E18/B18," - ")</f>
        <v>167.5</v>
      </c>
      <c r="G18" s="849">
        <f>SUBTOTAL(9,G14:G17)</f>
        <v>348</v>
      </c>
      <c r="H18" s="850">
        <f>IF(ISNUMBER(G18/B18),G18/B18," - ")</f>
        <v>174</v>
      </c>
      <c r="I18" s="849">
        <f>SUBTOTAL(9,I14:I17)</f>
        <v>604</v>
      </c>
      <c r="J18" s="850">
        <f>IF(ISNUMBER(I18/B18),I18/B18," - ")</f>
        <v>302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1710</v>
      </c>
      <c r="D19" s="795" t="str">
        <f>IF(ISNUMBER(C19/Datos!BI19),C19/Datos!BI19," - ")</f>
        <v xml:space="preserve"> - </v>
      </c>
      <c r="E19" s="794">
        <f>SUBTOTAL(9,E9:E18)</f>
        <v>876</v>
      </c>
      <c r="F19" s="795">
        <f>IF(ISNUMBER(E19/B19),E19/B19," - ")</f>
        <v>438</v>
      </c>
      <c r="G19" s="794">
        <f>SUBTOTAL(9,G9:G18)</f>
        <v>700</v>
      </c>
      <c r="H19" s="795">
        <f>IF(ISNUMBER(G19/B19),G19/B19," - ")</f>
        <v>350</v>
      </c>
      <c r="I19" s="794">
        <f>SUBTOTAL(9,I9:I18)</f>
        <v>1891</v>
      </c>
      <c r="J19" s="795">
        <f>IF(ISNUMBER(I19/B19),I19/B19," - ")</f>
        <v>945.5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jInKe2id7Q3rqab0TaKC6ZG8vUDlEro3LEwXFyML52ecwlQ3iUsjppxiivmKCCCc+1QEawPvpBEtzISJ+uoPQ==" saltValue="I2RE0nItF1BwtTpBLfyj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VILLARROBLEDO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10.811965811965811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-2.8571428571428571E-2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136</v>
      </c>
      <c r="AE13" s="939">
        <f t="shared" si="1"/>
        <v>0</v>
      </c>
      <c r="AF13" s="939">
        <f t="shared" si="1"/>
        <v>22</v>
      </c>
      <c r="AG13" s="939">
        <f t="shared" si="1"/>
        <v>0</v>
      </c>
      <c r="AH13" s="939">
        <f t="shared" si="1"/>
        <v>1632</v>
      </c>
      <c r="AI13" s="939">
        <f t="shared" si="1"/>
        <v>0</v>
      </c>
      <c r="AJ13" s="939">
        <f t="shared" si="1"/>
        <v>0</v>
      </c>
      <c r="AK13" s="939">
        <f t="shared" si="1"/>
        <v>0</v>
      </c>
      <c r="AL13" s="939">
        <f t="shared" si="1"/>
        <v>108</v>
      </c>
      <c r="AM13" s="939">
        <f t="shared" si="1"/>
        <v>13</v>
      </c>
      <c r="AN13" s="939">
        <f t="shared" si="1"/>
        <v>0</v>
      </c>
      <c r="AO13" s="939">
        <f t="shared" si="1"/>
        <v>0</v>
      </c>
      <c r="AP13" s="944">
        <f>IF(ISNUMBER(((Datos!L13/Datos!K13)*11)/factor_trimestre),((Datos!L13/Datos!K13)*11)/factor_trimestre," - ")</f>
        <v>10.946902654867257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-4.5454545454545456E-2</v>
      </c>
      <c r="AU13" s="939" t="str">
        <f>IF(ISNUMBER((DatosP!#REF!-DatosP!#REF!+DatosP!#REF!)/(DatosP!#REF!+DatosP!#REF!-DatosP!#REF!-DatosP!#REF!)),(DatosP!#REF!-DatosP!#REF!+DatosP!#REF!)/(DatosP!#REF!+DatosP!#REF!-DatosP!#REF!-DatosP!#REF!)," - ")</f>
        <v xml:space="preserve"> - </v>
      </c>
      <c r="AV13" s="945">
        <f>SUBTOTAL(9,AV9:AV12)</f>
        <v>-2.8571428571428571E-2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5.2068965517241388</v>
      </c>
      <c r="AQ18" s="944">
        <f>IF(ISNUMBER(((Datos!M18/Datos!L18)*11)/factor_trimestre),((Datos!M18/Datos!L18)*11)/factor_trimestre," - ")</f>
        <v>0.16887417218543049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8.1967213114754092E-2</v>
      </c>
      <c r="AW18" s="946">
        <f>IF(ISNUMBER((Datos!Q18-Datos!R18)/(Datos!S18-Datos!Q18+Datos!R18)),(Datos!Q18-Datos!R18)/(Datos!S18-Datos!Q18+Datos!R18)," - ")</f>
        <v>-9.1539528432732317E-2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136</v>
      </c>
      <c r="AE19" s="957">
        <f t="shared" si="5"/>
        <v>0</v>
      </c>
      <c r="AF19" s="958">
        <f t="shared" si="5"/>
        <v>22</v>
      </c>
      <c r="AG19" s="958">
        <f t="shared" si="5"/>
        <v>0</v>
      </c>
      <c r="AH19" s="958">
        <f t="shared" si="5"/>
        <v>1632</v>
      </c>
      <c r="AI19" s="958">
        <f t="shared" si="5"/>
        <v>0</v>
      </c>
      <c r="AJ19" s="959">
        <f t="shared" si="5"/>
        <v>0</v>
      </c>
      <c r="AK19" s="959">
        <f t="shared" si="5"/>
        <v>0</v>
      </c>
      <c r="AL19" s="951">
        <f t="shared" si="5"/>
        <v>108</v>
      </c>
      <c r="AM19" s="951">
        <f t="shared" si="5"/>
        <v>13</v>
      </c>
      <c r="AN19" s="951">
        <f t="shared" si="5"/>
        <v>0</v>
      </c>
      <c r="AO19" s="951">
        <f t="shared" si="5"/>
        <v>0</v>
      </c>
      <c r="AP19" s="951">
        <f>IF(ISNUMBER(((Datos!L19/Datos!K19)*11)/factor_trimestre),((Datos!L19/Datos!K19)*11)/factor_trimestre," - ")</f>
        <v>8.039301310043669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-4.5454545454545456E-2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-2.4698449167145319E-2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61.779176642835459</v>
      </c>
      <c r="AM21" s="736"/>
      <c r="AN21" s="736">
        <f>IF(ISNUMBER(STDEV(AN8:AN18)),STDEV(AN8:AN18),"-")</f>
        <v>0</v>
      </c>
      <c r="AO21" s="742">
        <f>IF(ISNUMBER(STDEV(AO8:AO18)),STDEV(AO8:AO18),"-")</f>
        <v>0</v>
      </c>
      <c r="AP21" s="779">
        <f>IF(ISNUMBER(STDEV(AP8:AP18)),STDEV(AP8:AP18),"-")</f>
        <v>28.630908052797391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ilJv+JqWHbS6kip/FdQXqt0sMDFFHRdt0guZiD6Fm54/dJMaKMUWsUW/DkRQUvOSKXUtsO3DWSEn+H0VjsyGA==" saltValue="2lga3+7rstCV5/9z4elFJ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VILLARROBLEDO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6WgGp4Qx/590vl/JbS5cPvgR1/8MUqebUz7HlCbYRLRy0ht8hrZvIHmOxRHyiWrE8gN3HPcrKliC78afXPLXw==" saltValue="kVrmHThZ4cRX17N22PmT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VILLARROBLEDO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107</v>
      </c>
      <c r="E12" s="404">
        <f t="shared" si="0"/>
        <v>53.5</v>
      </c>
      <c r="F12" s="403">
        <f>IF(ISNUMBER(Datos!N12),Datos!N12," - ")</f>
        <v>13</v>
      </c>
      <c r="G12" s="404">
        <f t="shared" si="1"/>
        <v>6.5</v>
      </c>
      <c r="H12" s="403">
        <f>IF(ISNUMBER(Datos!O12),Datos!O12," - ")</f>
        <v>30</v>
      </c>
      <c r="I12" s="404">
        <f t="shared" si="2"/>
        <v>15</v>
      </c>
      <c r="BZ12" s="1186">
        <f>Datos!EZ12</f>
        <v>0</v>
      </c>
    </row>
    <row r="13" spans="1:78" ht="14.25" thickTop="1" thickBot="1">
      <c r="A13" s="848" t="str">
        <f>Datos!A13</f>
        <v>TOTAL</v>
      </c>
      <c r="B13" s="849">
        <f>Datos!AP13</f>
        <v>2</v>
      </c>
      <c r="C13" s="851">
        <f>Datos!AR13</f>
        <v>2</v>
      </c>
      <c r="D13" s="849">
        <f>SUBTOTAL(9,D9:D12)</f>
        <v>108</v>
      </c>
      <c r="E13" s="850">
        <f t="shared" si="0"/>
        <v>54</v>
      </c>
      <c r="F13" s="849">
        <f>SUBTOTAL(9,F9:F12)</f>
        <v>13</v>
      </c>
      <c r="G13" s="850">
        <f t="shared" si="1"/>
        <v>6.5</v>
      </c>
      <c r="H13" s="849">
        <f>SUBTOTAL(9,H9:H12)</f>
        <v>30</v>
      </c>
      <c r="I13" s="850">
        <f>IF(ISNUMBER(H13/B13),H13/B13," - ")</f>
        <v>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219</v>
      </c>
      <c r="G16" s="404">
        <f t="shared" si="4"/>
        <v>109.5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34</v>
      </c>
      <c r="E18" s="850">
        <f t="shared" si="3"/>
        <v>17</v>
      </c>
      <c r="F18" s="849">
        <f>SUBTOTAL(9,F15:F17)</f>
        <v>240</v>
      </c>
      <c r="G18" s="850">
        <f t="shared" si="4"/>
        <v>120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142</v>
      </c>
      <c r="E19" s="795">
        <f>IF(ISNUMBER(D19/B19),D19/B19," - ")</f>
        <v>71</v>
      </c>
      <c r="F19" s="794">
        <f>SUBTOTAL(9,F8:F18)</f>
        <v>253</v>
      </c>
      <c r="G19" s="795">
        <f>IF(ISNUMBER(F19/B19),F19/B19," - ")</f>
        <v>126.5</v>
      </c>
      <c r="H19" s="794">
        <f>SUBTOTAL(9,H8:H18)</f>
        <v>30</v>
      </c>
      <c r="I19" s="795">
        <f>IF(ISNUMBER(H19/B19),H19/B19," - ")</f>
        <v>15</v>
      </c>
    </row>
    <row r="22" spans="1:78">
      <c r="A22" s="391" t="str">
        <f>Criterios!A4</f>
        <v>Fecha Informe: 03 jun. 2025</v>
      </c>
    </row>
    <row r="27" spans="1:78">
      <c r="A27" s="414"/>
    </row>
  </sheetData>
  <sheetProtection algorithmName="SHA-512" hashValue="o7yfomAzntZ7BgJLY7PyMB53gcCwv/oDLSZOds7gAC+TVSc6FLJFAO2hCb43pIbiAmWEfVuev39CHFmMqDeGtg==" saltValue="LSbE3ll7+ARvaapJ9hSB9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VILLARROBLEDO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136</v>
      </c>
      <c r="D12" s="408">
        <f>IF(ISNUMBER(Datos!R12),Datos!R12," - ")</f>
        <v>1632</v>
      </c>
    </row>
    <row r="13" spans="1:4" ht="14.25" thickTop="1" thickBot="1">
      <c r="A13" s="848" t="str">
        <f>Datos!A13</f>
        <v>TOTAL</v>
      </c>
      <c r="B13" s="849">
        <f>SUBTOTAL(9,B9:B12)</f>
        <v>88</v>
      </c>
      <c r="C13" s="853">
        <f>SUBTOTAL(9,C9:C12)</f>
        <v>136</v>
      </c>
      <c r="D13" s="851">
        <f>SUBTOTAL(9,D9:D12)</f>
        <v>1632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0</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0</v>
      </c>
      <c r="D18" s="851">
        <f>SUBTOTAL(9,D15:D17)</f>
        <v>66</v>
      </c>
    </row>
    <row r="19" spans="1:4" ht="16.5" customHeight="1" thickTop="1" thickBot="1">
      <c r="A19" s="793" t="str">
        <f>Datos!A19</f>
        <v>TOTAL JURISDICCIONES</v>
      </c>
      <c r="B19" s="798">
        <f>SUBTOTAL(9,B8:B18)</f>
        <v>93</v>
      </c>
      <c r="C19" s="799">
        <f>SUBTOTAL(9,C8:C18)</f>
        <v>136</v>
      </c>
      <c r="D19" s="800">
        <f>SUBTOTAL(9,D8:D18)</f>
        <v>1698</v>
      </c>
    </row>
    <row r="20" spans="1:4" ht="7.5" customHeight="1"/>
    <row r="21" spans="1:4" ht="6" customHeight="1"/>
    <row r="22" spans="1:4">
      <c r="A22" s="391" t="str">
        <f>Criterios!A4</f>
        <v>Fecha Informe: 03 jun. 2025</v>
      </c>
    </row>
    <row r="27" spans="1:4">
      <c r="A27" s="414"/>
    </row>
  </sheetData>
  <sheetProtection algorithmName="SHA-512" hashValue="ZV7BrvzNuQStifwGTh1BrpccdkxWMjxSgMZ+88J5FjJ3lHZ3YhLLtfdclzSlhjdJDErlMVApAOnYE0+F+TziLg==" saltValue="FzxV1iW3xihgaLyCSnXd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VILLARROBLEDO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0.15789473684210525</v>
      </c>
      <c r="C10" s="456">
        <f>IF(ISNUMBER((Datos!J10-Datos!T10)/Datos!T10),(Datos!J10-Datos!T10)/Datos!T10," - ")</f>
        <v>-0.5</v>
      </c>
      <c r="D10" s="456" t="str">
        <f>IF(ISNUMBER((Datos!K10-Datos!U10)/Datos!U10),(Datos!K10-Datos!U10)/Datos!U10," - ")</f>
        <v xml:space="preserve"> - </v>
      </c>
      <c r="E10" s="456">
        <f>IF(ISNUMBER((Datos!L10-Datos!V10)/Datos!V10),(Datos!L10-Datos!V10)/Datos!V10," - ")</f>
        <v>4.7619047619047616E-2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0.17083786724700761</v>
      </c>
      <c r="C12" s="456">
        <f>IF(ISNUMBER(
   IF(J_V="SI",(Datos!J12-Datos!T12)/Datos!T12,(Datos!J12+Datos!Z12-(Datos!T12+Datos!AH12))/(Datos!T12+Datos!AH12))
     ),IF(J_V="SI",(Datos!J12-Datos!T12)/Datos!T12,(Datos!J12+Datos!Z12-(Datos!T12+Datos!AH12))/(Datos!T12+Datos!AH12))," - ")</f>
        <v>0.37404580152671757</v>
      </c>
      <c r="D12" s="456">
        <f>IF(ISNUMBER(
   IF(J_V="SI",(Datos!K12-Datos!U12)/Datos!U12,(Datos!K12+Datos!AA12-(Datos!U12+Datos!AI12))/(Datos!U12+Datos!AI12))
     ),IF(J_V="SI",(Datos!K12-Datos!U12)/Datos!U12,(Datos!K12+Datos!AA12-(Datos!U12+Datos!AI12))/(Datos!U12+Datos!AI12))," - ")</f>
        <v>2.0348837209302327E-2</v>
      </c>
      <c r="E12" s="456">
        <f>IF(ISNUMBER(
   IF(J_V="SI",(Datos!L12-Datos!V12)/Datos!V12,(Datos!L12+Datos!AB12-(Datos!V12+Datos!AJ12))/(Datos!V12+Datos!AJ12))
     ),IF(J_V="SI",(Datos!L12-Datos!V12)/Datos!V12,(Datos!L12+Datos!AB12-(Datos!V12+Datos!AJ12))/(Datos!V12+Datos!AJ12))," - ")</f>
        <v>0.30952380952380953</v>
      </c>
      <c r="F12" s="456">
        <f>IF(ISNUMBER((Datos!M12-Datos!W12)/Datos!W12),(Datos!M12-Datos!W12)/Datos!W12," - ")</f>
        <v>0.12631578947368421</v>
      </c>
      <c r="G12" s="457">
        <f>IF(ISNUMBER((Datos!N12-Datos!X12)/Datos!X12),(Datos!N12-Datos!X12)/Datos!X12," - ")</f>
        <v>-0.90441176470588236</v>
      </c>
      <c r="H12" s="455">
        <f>IF(ISNUMBER(((NºAsuntos!G12/NºAsuntos!E12)-Datos!BD12)/Datos!BD12),((NºAsuntos!G12/NºAsuntos!E12)-Datos!BD12)/Datos!BD12," - ")</f>
        <v>-0.25741279069767442</v>
      </c>
      <c r="I12" s="456">
        <f>IF(ISNUMBER(((NºAsuntos!I12/NºAsuntos!G12)-Datos!BE12)/Datos!BE12),((NºAsuntos!I12/NºAsuntos!G12)-Datos!BE12)/Datos!BE12," - ")</f>
        <v>0.28340795007461661</v>
      </c>
      <c r="J12" s="461">
        <f>IF(ISNUMBER((('Resol  Asuntos'!D12/NºAsuntos!G12)-Datos!BF12)/Datos!BF12),(('Resol  Asuntos'!D12/NºAsuntos!G12)-Datos!BF12)/Datos!BF12," - ")</f>
        <v>-0.22892575833752299</v>
      </c>
      <c r="K12" s="462">
        <f>IF(ISNUMBER((((NºAsuntos!C12+NºAsuntos!E12)/NºAsuntos!G12)-Datos!BG12)/Datos!BG12),(((NºAsuntos!C12+NºAsuntos!E12)/NºAsuntos!G12)-Datos!BG12)/Datos!BG12," - ")</f>
        <v>0.20714335348481691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0.17057569296375266</v>
      </c>
      <c r="C13" s="855">
        <f>IF(ISNUMBER(
   IF(J_V="SI",(Datos!J13-Datos!T13)/Datos!T13,(Datos!J13+Datos!Z13-(Datos!T13+Datos!AH13))/(Datos!T13+Datos!AH13))
     ),IF(J_V="SI",(Datos!J13-Datos!T13)/Datos!T13,(Datos!J13+Datos!Z13-(Datos!T13+Datos!AH13))/(Datos!T13+Datos!AH13))," - ")</f>
        <v>0.36962025316455699</v>
      </c>
      <c r="D13" s="855">
        <f>IF(ISNUMBER(
   IF(J_V="SI",(Datos!K13-Datos!U13)/Datos!U13,(Datos!K13+Datos!AA13-(Datos!U13+Datos!AI13))/(Datos!U13+Datos!AI13))
     ),IF(J_V="SI",(Datos!K13-Datos!U13)/Datos!U13,(Datos!K13+Datos!AA13-(Datos!U13+Datos!AI13))/(Datos!U13+Datos!AI13))," - ")</f>
        <v>2.3255813953488372E-2</v>
      </c>
      <c r="E13" s="855">
        <f>IF(ISNUMBER(
   IF(J_V="SI",(Datos!L13-Datos!V13)/Datos!V13,(Datos!L13+Datos!AB13-(Datos!V13+Datos!AJ13))/(Datos!V13+Datos!AJ13))
     ),IF(J_V="SI",(Datos!L13-Datos!V13)/Datos!V13,(Datos!L13+Datos!AB13-(Datos!V13+Datos!AJ13))/(Datos!V13+Datos!AJ13))," - ")</f>
        <v>0.303951367781155</v>
      </c>
      <c r="F13" s="856">
        <f>IF(ISNUMBER((Datos!M13-Datos!W13)/Datos!W13),(Datos!M13-Datos!W13)/Datos!W13," - ")</f>
        <v>0.1368421052631579</v>
      </c>
      <c r="G13" s="857">
        <f>IF(ISNUMBER((Datos!N13-Datos!X13)/Datos!X13),(Datos!N13-Datos!X13)/Datos!X13," - ")</f>
        <v>-0.90441176470588236</v>
      </c>
      <c r="H13" s="857">
        <f>IF(ISNUMBER(((NºAsuntos!G13/NºAsuntos!E13)-Datos!BD13)/Datos!BD13),((NºAsuntos!G13/NºAsuntos!E13)-Datos!BD13)/Datos!BD13," - ")</f>
        <v>-0.25289085672527184</v>
      </c>
      <c r="I13" s="857">
        <f>IF(ISNUMBER(((NºAsuntos!I13/NºAsuntos!G13)-Datos!BE13)/Datos!BE13),((NºAsuntos!I13/NºAsuntos!G13)-Datos!BE13)/Datos!BE13," - ")</f>
        <v>0.2743161094224924</v>
      </c>
      <c r="J13" s="857">
        <f>IF(ISNUMBER((('Resol  Asuntos'!D13/NºAsuntos!G13)-Datos!BF13)/Datos!BF13),(('Resol  Asuntos'!D13/NºAsuntos!G13)-Datos!BF13)/Datos!BF13," - ")</f>
        <v>-0.22393048128342241</v>
      </c>
      <c r="K13" s="857">
        <f>IF(ISNUMBER((((NºAsuntos!C13+NºAsuntos!E13)/NºAsuntos!G13)-Datos!BG13)/Datos!BG13),(((NºAsuntos!C13+NºAsuntos!E13)/NºAsuntos!G13)-Datos!BG13)/Datos!BG13," - ")</f>
        <v>0.20161290322580644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-9.3309859154929578E-2</v>
      </c>
      <c r="C16" s="456">
        <f>IF(ISNUMBER(
   IF(D_I="SI",(Datos!J16-Datos!T16)/Datos!T16,(Datos!J16+Datos!AD16-(Datos!T16+Datos!AL16))/(Datos!T16+Datos!AL16))
     ),IF(D_I="SI",(Datos!J16-Datos!T16)/Datos!T16,(Datos!J16+Datos!AD16-(Datos!T16+Datos!AL16))/(Datos!T16+Datos!AL16))," - ")</f>
        <v>-3.8338658146964855E-2</v>
      </c>
      <c r="D16" s="456">
        <f>IF(ISNUMBER(
   IF(D_I="SI",(Datos!K16-Datos!U16)/Datos!U16,(Datos!K16+Datos!AE16-(Datos!U16+Datos!AM16))/(Datos!U16+Datos!AM16))
     ),IF(D_I="SI",(Datos!K16-Datos!U16)/Datos!U16,(Datos!K16+Datos!AE16-(Datos!U16+Datos!AM16))/(Datos!U16+Datos!AM16))," - ")</f>
        <v>0.14760147601476015</v>
      </c>
      <c r="E16" s="456">
        <f>IF(ISNUMBER(
   IF(D_I="SI",(Datos!L16-Datos!V16)/Datos!V16,(Datos!L16+Datos!AF16-(Datos!V16+Datos!AN16))/(Datos!V16+Datos!AN16))
     ),IF(D_I="SI",(Datos!L16-Datos!V16)/Datos!V16,(Datos!L16+Datos!AF16-(Datos!V16+Datos!AN16))/(Datos!V16+Datos!AN16))," - ")</f>
        <v>-0.16557377049180327</v>
      </c>
      <c r="F16" s="456">
        <f>IF(ISNUMBER((Datos!M16-Datos!W16)/Datos!W16),(Datos!M16-Datos!W16)/Datos!W16," - ")</f>
        <v>-0.21052631578947367</v>
      </c>
      <c r="G16" s="457">
        <f>IF(ISNUMBER((Datos!N16-Datos!X16)/Datos!X16),(Datos!N16-Datos!X16)/Datos!X16," - ")</f>
        <v>0.40384615384615385</v>
      </c>
      <c r="H16" s="455">
        <f>IF(ISNUMBER(((NºAsuntos!G16/NºAsuntos!E16)-Datos!BD16)/Datos!BD16),((NºAsuntos!G16/NºAsuntos!E16)-Datos!BD16)/Datos!BD16," - ")</f>
        <v>0.19335302987581365</v>
      </c>
      <c r="I16" s="456">
        <f>IF(ISNUMBER(((NºAsuntos!I16/NºAsuntos!G16)-Datos!BE16)/Datos!BE16),((NºAsuntos!I16/NºAsuntos!G16)-Datos!BE16)/Datos!BE16," - ")</f>
        <v>-0.27289547203626591</v>
      </c>
      <c r="J16" s="461">
        <f>IF(ISNUMBER((('Resol  Asuntos'!D16/NºAsuntos!G16)-Datos!BF16)/Datos!BF16),(('Resol  Asuntos'!D16/NºAsuntos!G16)-Datos!BF16)/Datos!BF16," - ")</f>
        <v>-0.31206633948214585</v>
      </c>
      <c r="K16" s="462">
        <f>IF(ISNUMBER((((NºAsuntos!C16+NºAsuntos!E16)/NºAsuntos!G16)-Datos!BG16)/Datos!BG16),(((NºAsuntos!C16+NºAsuntos!E16)/NºAsuntos!G16)-Datos!BG16)/Datos!BG16," - ")</f>
        <v>-0.19290779624148244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0.11494252873563218</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1.3125</v>
      </c>
      <c r="E17" s="456">
        <f>IF(ISNUMBER(
   IF(D_I="SI",(Datos!L17-Datos!V17)/Datos!V17,(Datos!L17+Datos!AF17-(Datos!V17+Datos!AN17))/(Datos!V17+Datos!AN17))
     ),IF(D_I="SI",(Datos!L17-Datos!V17)/Datos!V17,(Datos!L17+Datos!AF17-(Datos!V17+Datos!AN17))/(Datos!V17+Datos!AN17))," - ")</f>
        <v>7.9545454545454544E-2</v>
      </c>
      <c r="F17" s="456">
        <f>IF(ISNUMBER((Datos!M17-Datos!W17)/Datos!W17),(Datos!M17-Datos!W17)/Datos!W17," - ")</f>
        <v>1</v>
      </c>
      <c r="G17" s="457">
        <f>IF(ISNUMBER((Datos!N17-Datos!X17)/Datos!X17),(Datos!N17-Datos!X17)/Datos!X17," - ")</f>
        <v>1.625</v>
      </c>
      <c r="H17" s="455">
        <f>IF(ISNUMBER(((NºAsuntos!G17/NºAsuntos!E17)-Datos!BD17)/Datos!BD17),((NºAsuntos!G17/NºAsuntos!E17)-Datos!BD17)/Datos!BD17," - ")</f>
        <v>0.15624999999999992</v>
      </c>
      <c r="I17" s="456">
        <f>IF(ISNUMBER(((NºAsuntos!I17/NºAsuntos!G17)-Datos!BE17)/Datos!BE17),((NºAsuntos!I17/NºAsuntos!G17)-Datos!BE17)/Datos!BE17," - ")</f>
        <v>-0.53316953316953319</v>
      </c>
      <c r="J17" s="461">
        <f>IF(ISNUMBER((('Resol  Asuntos'!D17/NºAsuntos!G17)-Datos!BF17)/Datos!BF17),(('Resol  Asuntos'!D17/NºAsuntos!G17)-Datos!BF17)/Datos!BF17," - ")</f>
        <v>-0.13513513513513509</v>
      </c>
      <c r="K17" s="462">
        <f>IF(ISNUMBER((((NºAsuntos!C17+NºAsuntos!E17)/NºAsuntos!G17)-Datos!BG17)/Datos!BG17),(((NºAsuntos!C17+NºAsuntos!E17)/NºAsuntos!G17)-Datos!BG17)/Datos!BG17," - ")</f>
        <v>-0.45530145530145533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-6.5648854961832065E-2</v>
      </c>
      <c r="C18" s="855">
        <f>IF(ISNUMBER(
   IF(Criterios!B14="SI",(Datos!J18-Datos!T18)/Datos!T18,(Datos!J18+Datos!AD18-(Datos!T18+Datos!AL18))/(Datos!T18+Datos!AL18))
     ),IF(Criterios!B14="SI",(Datos!J18-Datos!T18)/Datos!T18,(Datos!J18+Datos!AD18-(Datos!T18+Datos!AL18))/(Datos!T18+Datos!AL18))," - ")</f>
        <v>1.5151515151515152E-2</v>
      </c>
      <c r="D18" s="855">
        <f>IF(ISNUMBER(
   IF(Criterios!B14="SI",(Datos!K18-Datos!U18)/Datos!U18,(Datos!K18+Datos!AE18-(Datos!U18+Datos!AM18))/(Datos!U18+Datos!AM18))
     ),IF(Criterios!B14="SI",(Datos!K18-Datos!U18)/Datos!U18,(Datos!K18+Datos!AE18-(Datos!U18+Datos!AM18))/(Datos!U18+Datos!AM18))," - ")</f>
        <v>0.21254355400696864</v>
      </c>
      <c r="E18" s="855">
        <f>IF(ISNUMBER(
   IF(Criterios!B14="SI",(Datos!L18-Datos!V18)/Datos!V18,(Datos!L18+Datos!AF18-(Datos!V18+Datos!AN18))/(Datos!V18+Datos!AN18))
     ),IF(Criterios!B14="SI",(Datos!L18-Datos!V18)/Datos!V18,(Datos!L18+Datos!AF18-(Datos!V18+Datos!AN18))/(Datos!V18+Datos!AN18))," - ")</f>
        <v>-0.1346704871060172</v>
      </c>
      <c r="F18" s="856">
        <f>IF(ISNUMBER((Datos!M18-Datos!W18)/Datos!W18),(Datos!M18-Datos!W18)/Datos!W18," - ")</f>
        <v>-0.15</v>
      </c>
      <c r="G18" s="857">
        <f>IF(ISNUMBER((Datos!N18-Datos!X18)/Datos!X18),(Datos!N18-Datos!X18)/Datos!X18," - ")</f>
        <v>0.46341463414634149</v>
      </c>
      <c r="H18" s="857">
        <f>IF(ISNUMBER(((NºAsuntos!G18/NºAsuntos!E18)-Datos!BD18)/Datos!BD18),((NºAsuntos!G18/NºAsuntos!E18)-Datos!BD18)/Datos!BD18," - ")</f>
        <v>0.19444588902179002</v>
      </c>
      <c r="I18" s="857">
        <f>IF(ISNUMBER(((NºAsuntos!I18/NºAsuntos!G18)-Datos!BE18)/Datos!BE18),((NºAsuntos!I18/NºAsuntos!G18)-Datos!BE18)/Datos!BE18," - ")</f>
        <v>-0.28635180976846819</v>
      </c>
      <c r="J18" s="857">
        <f>IF(ISNUMBER((('Resol  Asuntos'!D18/NºAsuntos!G18)-Datos!BF18)/Datos!BF18),(('Resol  Asuntos'!D18/NºAsuntos!G18)-Datos!BF18)/Datos!BF18," - ")</f>
        <v>-0.29899425287356313</v>
      </c>
      <c r="K18" s="857">
        <f>IF(ISNUMBER((((NºAsuntos!C18+NºAsuntos!E18)/NºAsuntos!G18)-Datos!BG18)/Datos!BG18),(((NºAsuntos!C18+NºAsuntos!E18)/NºAsuntos!G18)-Datos!BG18)/Datos!BG18," - ")</f>
        <v>-0.20710368166170723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7.3446327683615822E-2</v>
      </c>
      <c r="C19" s="802">
        <f>IF(ISNUMBER(
   IF(J_V="SI",(Datos!J19-Datos!T19)/Datos!T19,(Datos!J19+Datos!Z19-(Datos!T19+Datos!AH19))/(Datos!T19+Datos!AH19))
     ),IF(J_V="SI",(Datos!J19-Datos!T19)/Datos!T19,(Datos!J19+Datos!Z19-(Datos!T19+Datos!AH19))/(Datos!T19+Datos!AH19))," - ")</f>
        <v>0.20827586206896551</v>
      </c>
      <c r="D19" s="802">
        <f>IF(ISNUMBER(
   IF(J_V="SI",(Datos!K19-Datos!U19)/Datos!U19,(Datos!K19+Datos!AA19-(Datos!U19+Datos!AI19))/(Datos!U19+Datos!AI19))
     ),IF(J_V="SI",(Datos!K19-Datos!U19)/Datos!U19,(Datos!K19+Datos!AA19-(Datos!U19+Datos!AI19))/(Datos!U19+Datos!AI19))," - ")</f>
        <v>0.10935023771790808</v>
      </c>
      <c r="E19" s="802">
        <f>IF(ISNUMBER(
   IF(J_V="SI",(Datos!L19-Datos!V19)/Datos!V19,(Datos!L19+Datos!AB19-(Datos!V19+Datos!AJ19))/(Datos!V19+Datos!AJ19))
     ),IF(J_V="SI",(Datos!L19-Datos!V19)/Datos!V19,(Datos!L19+Datos!AB19-(Datos!V19+Datos!AJ19))/(Datos!V19+Datos!AJ19))," - ")</f>
        <v>0.12225519287833828</v>
      </c>
      <c r="F19" s="803">
        <f>IF(ISNUMBER((Datos!M19-Datos!W19)/Datos!W19),(Datos!M19-Datos!W19)/Datos!W19," - ")</f>
        <v>5.185185185185185E-2</v>
      </c>
      <c r="G19" s="804">
        <f>IF(ISNUMBER((Datos!N19-Datos!X19)/Datos!X19),(Datos!N19-Datos!X19)/Datos!X19," - ")</f>
        <v>-0.15666666666666668</v>
      </c>
      <c r="H19" s="805">
        <f>IF(ISNUMBER((Tasas!B19-Datos!BD19)/Datos!BD19),(Tasas!B19-Datos!BD19)/Datos!BD19," - ")</f>
        <v>-8.1873376317941365E-2</v>
      </c>
      <c r="I19" s="806">
        <f>IF(ISNUMBER((Tasas!C19-Datos!BE19)/Datos!BE19),(Tasas!C19-Datos!BE19)/Datos!BE19," - ")</f>
        <v>1.1632895294616377E-2</v>
      </c>
      <c r="J19" s="807">
        <f>IF(ISNUMBER((Tasas!D19-Datos!BF19)/Datos!BF19),(Tasas!D19-Datos!BF19)/Datos!BF19," - ")</f>
        <v>-0.27271103896103904</v>
      </c>
      <c r="K19" s="807">
        <f>IF(ISNUMBER((Tasas!E19-Datos!BG19)/Datos!BG19),(Tasas!E19-Datos!BG19)/Datos!BG19," - ")</f>
        <v>5.6489584617281331E-3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PAp3GU4BCp/4XFs7+0LIlQTF4ZnTQkheVnH5H06ReVQXGtYN0nKIOJeenXxd+BUq+87qb80tG5RUzhl51QYOA==" saltValue="jGi5D6bq8/4FO282Qqqg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VILLARROBLEDO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22</v>
      </c>
      <c r="D10" s="444">
        <f>IF(ISNUMBER('Resol  Asuntos'!D10/NºAsuntos!G10),'Resol  Asuntos'!D10/NºAsuntos!G10," - ")</f>
        <v>1</v>
      </c>
      <c r="E10" s="445">
        <f>IF(ISNUMBER((NºAsuntos!C10+NºAsuntos!E10)/NºAsuntos!G10),(NºAsuntos!C10+NºAsuntos!E10)/NºAsuntos!G10," - ")</f>
        <v>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v>
      </c>
      <c r="C12" s="443">
        <f>IF(ISNUMBER(NºAsuntos!I12/NºAsuntos!G12),NºAsuntos!I12/NºAsuntos!G12," - ")</f>
        <v>3.6039886039886038</v>
      </c>
      <c r="D12" s="444">
        <f>IF(ISNUMBER('Resol  Asuntos'!D12/NºAsuntos!G12),'Resol  Asuntos'!D12/NºAsuntos!G12," - ")</f>
        <v>0.30484330484330485</v>
      </c>
      <c r="E12" s="445">
        <f>IF(ISNUMBER((NºAsuntos!C12+NºAsuntos!E12)/NºAsuntos!G12),(NºAsuntos!C12+NºAsuntos!E12)/NºAsuntos!G12," - ")</f>
        <v>4.6039886039886042</v>
      </c>
      <c r="G12" s="463"/>
    </row>
    <row r="13" spans="1:7" ht="14.25" thickTop="1" thickBot="1">
      <c r="A13" s="848" t="str">
        <f>Datos!A13</f>
        <v>TOTAL</v>
      </c>
      <c r="B13" s="858">
        <f>IF(ISNUMBER(NºAsuntos!G13/NºAsuntos!E13),NºAsuntos!G13/NºAsuntos!E13," - ")</f>
        <v>0.65064695009242146</v>
      </c>
      <c r="C13" s="859">
        <f>IF(ISNUMBER(NºAsuntos!I13/NºAsuntos!G13),NºAsuntos!I13/NºAsuntos!G13," - ")</f>
        <v>3.65625</v>
      </c>
      <c r="D13" s="860">
        <f>IF(ISNUMBER('Resol  Asuntos'!D13/NºAsuntos!G13),'Resol  Asuntos'!D13/NºAsuntos!G13," - ")</f>
        <v>0.30681818181818182</v>
      </c>
      <c r="E13" s="861">
        <f>IF(ISNUMBER((NºAsuntos!C13+NºAsuntos!E13)/NºAsuntos!G13),(NºAsuntos!C13+NºAsuntos!E13)/NºAsuntos!G13," - ")</f>
        <v>4.65625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1.0332225913621262</v>
      </c>
      <c r="C16" s="443">
        <f>IF(ISNUMBER(NºAsuntos!I16/NºAsuntos!G16),NºAsuntos!I16/NºAsuntos!G16," - ")</f>
        <v>1.6366559485530547</v>
      </c>
      <c r="D16" s="444">
        <f>IF(ISNUMBER('Resol  Asuntos'!D16/NºAsuntos!G16),'Resol  Asuntos'!D16/NºAsuntos!G16," - ")</f>
        <v>9.6463022508038579E-2</v>
      </c>
      <c r="E16" s="445">
        <f>IF(ISNUMBER((NºAsuntos!C16+NºAsuntos!E16)/NºAsuntos!G16),(NºAsuntos!C16+NºAsuntos!E16)/NºAsuntos!G16," - ")</f>
        <v>2.6237942122186495</v>
      </c>
      <c r="G16" s="463"/>
    </row>
    <row r="17" spans="1:7" ht="13.5" thickBot="1">
      <c r="A17" s="402" t="str">
        <f>Datos!A17</f>
        <v>Jdos. Violencia contra la mujer</v>
      </c>
      <c r="B17" s="442">
        <f>IF(ISNUMBER(NºAsuntos!G17/NºAsuntos!E17),NºAsuntos!G17/NºAsuntos!E17," - ")</f>
        <v>1.088235294117647</v>
      </c>
      <c r="C17" s="443">
        <f>IF(ISNUMBER(NºAsuntos!I17/NºAsuntos!G17),NºAsuntos!I17/NºAsuntos!G17," - ")</f>
        <v>2.5675675675675675</v>
      </c>
      <c r="D17" s="444">
        <f>IF(ISNUMBER('Resol  Asuntos'!D17/NºAsuntos!G17),'Resol  Asuntos'!D17/NºAsuntos!G17," - ")</f>
        <v>0.10810810810810811</v>
      </c>
      <c r="E17" s="445">
        <f>IF(ISNUMBER((NºAsuntos!C17+NºAsuntos!E17)/NºAsuntos!G17),(NºAsuntos!C17+NºAsuntos!E17)/NºAsuntos!G17," - ")</f>
        <v>3.5405405405405403</v>
      </c>
      <c r="G17" s="463"/>
    </row>
    <row r="18" spans="1:7" ht="14.25" thickTop="1" thickBot="1">
      <c r="A18" s="848" t="str">
        <f>Datos!A18</f>
        <v>TOTAL</v>
      </c>
      <c r="B18" s="858">
        <f>IF(ISNUMBER(NºAsuntos!G18/NºAsuntos!E18),NºAsuntos!G18/NºAsuntos!E18," - ")</f>
        <v>1.0388059701492538</v>
      </c>
      <c r="C18" s="859">
        <f>IF(ISNUMBER(NºAsuntos!I18/NºAsuntos!G18),NºAsuntos!I18/NºAsuntos!G18," - ")</f>
        <v>1.735632183908046</v>
      </c>
      <c r="D18" s="862">
        <f>IF(ISNUMBER('Resol  Asuntos'!D18/NºAsuntos!G18),'Resol  Asuntos'!D18/NºAsuntos!G18," - ")</f>
        <v>9.7701149425287362E-2</v>
      </c>
      <c r="E18" s="861">
        <f>IF(ISNUMBER((NºAsuntos!C18+NºAsuntos!E18)/NºAsuntos!G18),(NºAsuntos!C18+NºAsuntos!E18)/NºAsuntos!G18," - ")</f>
        <v>2.7212643678160919</v>
      </c>
      <c r="G18" s="463"/>
    </row>
    <row r="19" spans="1:7" ht="15.75" customHeight="1" thickTop="1" thickBot="1">
      <c r="A19" s="793" t="str">
        <f>Datos!A19</f>
        <v>TOTAL JURISDICCIONES</v>
      </c>
      <c r="B19" s="808">
        <f>IF(ISNUMBER(NºAsuntos!G19/NºAsuntos!E19),NºAsuntos!G19/NºAsuntos!E19," - ")</f>
        <v>0.79908675799086759</v>
      </c>
      <c r="C19" s="809">
        <f>IF(ISNUMBER(NºAsuntos!I19/NºAsuntos!G19),NºAsuntos!I19/NºAsuntos!G19," - ")</f>
        <v>2.7014285714285715</v>
      </c>
      <c r="D19" s="810">
        <f>IF(ISNUMBER('Resol  Asuntos'!D19/NºAsuntos!G19),'Resol  Asuntos'!D19/NºAsuntos!G19," - ")</f>
        <v>0.20285714285714285</v>
      </c>
      <c r="E19" s="811">
        <f>IF(ISNUMBER((NºAsuntos!C19+NºAsuntos!E19)/NºAsuntos!G19),(NºAsuntos!C19+NºAsuntos!E19)/NºAsuntos!G19," - ")</f>
        <v>3.6942857142857144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R4e5+x95wkeNDkWZ4/I5GZwExnd4miuisMdWD99AT4vkcRo4zaAOWxFKV5JUwROdrm+cVLAibV7ubawSG8GOA==" saltValue="0hHOJfStUR410OEf5rnS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VILLARROBLEDO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22</v>
      </c>
      <c r="AB10" s="334">
        <f>IF(ISNUMBER(Datos!R10),Datos!R10," - ")</f>
        <v>0</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66</v>
      </c>
      <c r="AN10" s="244">
        <f>IF(ISNUMBER('Resol  Asuntos'!D10/NºAsuntos!G10),'Resol  Asuntos'!D10/NºAsuntos!G10," - ")</f>
        <v>1</v>
      </c>
      <c r="AO10" s="245">
        <f>IF(ISNUMBER((NºAsuntos!C10+NºAsuntos!E10)/NºAsuntos!G10),(NºAsuntos!C10+NºAsuntos!E10)/NºAsuntos!G10," - ")</f>
        <v>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136</v>
      </c>
      <c r="Y12" s="334">
        <f t="shared" si="0"/>
        <v>136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0.65</v>
      </c>
      <c r="AM12" s="260">
        <f>IF(ISNUMBER(((NºAsuntos!I12/NºAsuntos!G12)*11)/factor_trimestre),((NºAsuntos!I12/NºAsuntos!G12)*11)/factor_trimestre," - ")</f>
        <v>10.811965811965811</v>
      </c>
      <c r="AN12" s="244">
        <f>IF(ISNUMBER('Resol  Asuntos'!D12/NºAsuntos!G12),'Resol  Asuntos'!D12/NºAsuntos!G12," - ")</f>
        <v>0.30484330484330485</v>
      </c>
      <c r="AO12" s="245">
        <f>IF(ISNUMBER((NºAsuntos!C12+NºAsuntos!E12)/NºAsuntos!G12),(NºAsuntos!C12+NºAsuntos!E12)/NºAsuntos!G12," - ")</f>
        <v>4.6039886039886042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136</v>
      </c>
      <c r="Y13" s="868">
        <f t="shared" si="4"/>
        <v>137</v>
      </c>
      <c r="Z13" s="868">
        <f t="shared" si="4"/>
        <v>0</v>
      </c>
      <c r="AA13" s="868">
        <f t="shared" si="4"/>
        <v>22</v>
      </c>
      <c r="AB13" s="868">
        <f t="shared" si="4"/>
        <v>1632</v>
      </c>
      <c r="AC13" s="868">
        <f t="shared" si="4"/>
        <v>22</v>
      </c>
      <c r="AD13" s="868">
        <f t="shared" si="4"/>
        <v>0</v>
      </c>
      <c r="AE13" s="872">
        <f t="shared" si="4"/>
        <v>0</v>
      </c>
      <c r="AF13" s="865">
        <f t="shared" si="4"/>
        <v>0</v>
      </c>
      <c r="AG13" s="873">
        <f t="shared" si="4"/>
        <v>0</v>
      </c>
      <c r="AH13" s="870">
        <f t="shared" si="4"/>
        <v>0</v>
      </c>
      <c r="AI13" s="865">
        <f t="shared" si="4"/>
        <v>108</v>
      </c>
      <c r="AJ13" s="867">
        <f t="shared" si="4"/>
        <v>0</v>
      </c>
      <c r="AK13" s="870">
        <f>SUBTOTAL(9,AK9:AK12)</f>
        <v>0</v>
      </c>
      <c r="AL13" s="874">
        <f>IF(ISNUMBER(NºAsuntos!G13/NºAsuntos!E13),NºAsuntos!G13/NºAsuntos!E13," - ")</f>
        <v>0.65064695009242146</v>
      </c>
      <c r="AM13" s="874">
        <f>IF(ISNUMBER(((NºAsuntos!I13/NºAsuntos!G13)*11)/factor_trimestre),((NºAsuntos!I13/NºAsuntos!G13)*11)/factor_trimestre," - ")</f>
        <v>10.96875</v>
      </c>
      <c r="AN13" s="875">
        <f>IF(ISNUMBER('Resol  Asuntos'!D13/NºAsuntos!G13),'Resol  Asuntos'!D13/NºAsuntos!G13," - ")</f>
        <v>0.30681818181818182</v>
      </c>
      <c r="AO13" s="876">
        <f>IF(ISNUMBER((NºAsuntos!C13+NºAsuntos!E13)/NºAsuntos!G13),(NºAsuntos!C13+NºAsuntos!E13)/NºAsuntos!G13," - ")</f>
        <v>4.65625</v>
      </c>
      <c r="AP13" s="877" t="str">
        <f t="shared" si="2"/>
        <v xml:space="preserve"> - </v>
      </c>
      <c r="AQ13" s="877">
        <f>IF(ISNUMBER((H13-W13+K13)/(F13)),(H13-W13+K13)/(F13)," - ")</f>
        <v>-4.5454545454545456E-2</v>
      </c>
      <c r="AR13" s="878">
        <f>IF(ISNUMBER((Datos!P13-Datos!Q13)/(Datos!R13-Datos!P13+Datos!Q13)),(Datos!P13-Datos!Q13)/(Datos!R13-Datos!P13+Datos!Q13)," - ")</f>
        <v>-2.8571428571428571E-2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519</v>
      </c>
      <c r="G16" s="333">
        <f>IF(ISNUMBER(IF(D_I="SI",Datos!I16,Datos!I16+Datos!AC16)),IF(D_I="SI",Datos!I16,Datos!I16+Datos!AC16)," - ")</f>
        <v>515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311</v>
      </c>
      <c r="X16" s="226">
        <f>IF(ISNUMBER(Datos!Q16),Datos!Q16," - ")</f>
        <v>0</v>
      </c>
      <c r="Y16" s="334">
        <f t="shared" ref="Y16:Y17" si="7">SUM(W16:X16)</f>
        <v>311</v>
      </c>
      <c r="Z16" s="335" t="str">
        <f>IF(ISNUMBER(Datos!CC16),Datos!CC16," - ")</f>
        <v xml:space="preserve"> - </v>
      </c>
      <c r="AA16" s="332">
        <f>IF(ISNUMBER(IF(D_I="SI",Datos!L16,Datos!L16+Datos!AF16)),IF(D_I="SI",Datos!L16,Datos!L16+Datos!AF16)," - ")</f>
        <v>509</v>
      </c>
      <c r="AB16" s="334">
        <f>IF(ISNUMBER(Datos!R16),Datos!R16," - ")</f>
        <v>66</v>
      </c>
      <c r="AC16" s="334">
        <f t="shared" si="6"/>
        <v>575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1.0332225913621262</v>
      </c>
      <c r="AM16" s="260">
        <f>IF(ISNUMBER(((NºAsuntos!I16/NºAsuntos!G16)*11)/factor_trimestre),((NºAsuntos!I16/NºAsuntos!G16)*11)/factor_trimestre," - ")</f>
        <v>4.9099678456591649</v>
      </c>
      <c r="AN16" s="244">
        <f>IF(ISNUMBER('Resol  Asuntos'!D16/NºAsuntos!G16),'Resol  Asuntos'!D16/NºAsuntos!G16," - ")</f>
        <v>9.6463022508038579E-2</v>
      </c>
      <c r="AO16" s="245">
        <f>IF(ISNUMBER((NºAsuntos!C16+NºAsuntos!E16)/NºAsuntos!G16),(NºAsuntos!C16+NºAsuntos!E16)/NºAsuntos!G16," - ")</f>
        <v>2.6237942122186495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0</v>
      </c>
      <c r="Y17" s="334">
        <f t="shared" si="7"/>
        <v>37</v>
      </c>
      <c r="Z17" s="335" t="str">
        <f>IF(ISNUMBER(Datos!CC17),Datos!CC17," - ")</f>
        <v xml:space="preserve"> - </v>
      </c>
      <c r="AA17" s="332">
        <f>IF(ISNUMBER(Datos!L17),Datos!L17,"-")</f>
        <v>95</v>
      </c>
      <c r="AB17" s="334">
        <f>IF(ISNUMBER(Datos!R17),Datos!R17," - ")</f>
        <v>0</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1.088235294117647</v>
      </c>
      <c r="AM17" s="260">
        <f>IF(ISNUMBER(((NºAsuntos!I17/NºAsuntos!G17)*11)/factor_trimestre),((NºAsuntos!I17/NºAsuntos!G17)*11)/factor_trimestre," - ")</f>
        <v>7.7027027027027026</v>
      </c>
      <c r="AN17" s="244">
        <f>IF(ISNUMBER('Resol  Asuntos'!D17/NºAsuntos!G17),'Resol  Asuntos'!D17/NºAsuntos!G17," - ")</f>
        <v>0.10810810810810811</v>
      </c>
      <c r="AO17" s="245">
        <f>IF(ISNUMBER((NºAsuntos!C17+NºAsuntos!E17)/NºAsuntos!G17),(NºAsuntos!C17+NºAsuntos!E17)/NºAsuntos!G17," - ")</f>
        <v>3.5405405405405403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519</v>
      </c>
      <c r="G18" s="866">
        <f>SUBTOTAL(9,G15:G17)</f>
        <v>612</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348</v>
      </c>
      <c r="X18" s="867">
        <f t="shared" si="11"/>
        <v>0</v>
      </c>
      <c r="Y18" s="868">
        <f t="shared" si="11"/>
        <v>348</v>
      </c>
      <c r="Z18" s="868">
        <f t="shared" si="11"/>
        <v>0</v>
      </c>
      <c r="AA18" s="868">
        <f t="shared" si="11"/>
        <v>604</v>
      </c>
      <c r="AB18" s="868">
        <f t="shared" si="11"/>
        <v>66</v>
      </c>
      <c r="AC18" s="868">
        <f t="shared" si="11"/>
        <v>670</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1.0388059701492538</v>
      </c>
      <c r="AM18" s="874">
        <f>IF(ISNUMBER(((NºAsuntos!I18/NºAsuntos!G18)*11)/factor_trimestre),((NºAsuntos!I18/NºAsuntos!G18)*11)/factor_trimestre," - ")</f>
        <v>5.2068965517241388</v>
      </c>
      <c r="AN18" s="875">
        <f>IF(ISNUMBER('Resol  Asuntos'!D18/NºAsuntos!G18),'Resol  Asuntos'!D18/NºAsuntos!G18," - ")</f>
        <v>9.7701149425287362E-2</v>
      </c>
      <c r="AO18" s="876">
        <f>IF(ISNUMBER((NºAsuntos!C18+NºAsuntos!E18)/NºAsuntos!G18),(NºAsuntos!C18+NºAsuntos!E18)/NºAsuntos!G18," - ")</f>
        <v>2.7212643678160919</v>
      </c>
      <c r="AP18" s="877" t="str">
        <f t="shared" si="2"/>
        <v xml:space="preserve"> - </v>
      </c>
      <c r="AQ18" s="877">
        <f>IF(ISNUMBER((H18-W18+K18)/(F18)),(H18-W18+K18)/(F18)," - ")</f>
        <v>-0.67052023121387283</v>
      </c>
      <c r="AR18" s="878">
        <f>IF(ISNUMBER((Datos!P18-Datos!Q18)/(Datos!R18-Datos!P18+Datos!Q18)),(Datos!P18-Datos!Q18)/(Datos!R18-Datos!P18+Datos!Q18)," - ")</f>
        <v>8.1967213114754092E-2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541</v>
      </c>
      <c r="G19" s="821">
        <f t="shared" si="13"/>
        <v>634</v>
      </c>
      <c r="H19" s="820">
        <f t="shared" si="13"/>
        <v>0</v>
      </c>
      <c r="I19" s="822">
        <f t="shared" si="13"/>
        <v>0</v>
      </c>
      <c r="J19" s="822">
        <f t="shared" si="13"/>
        <v>0</v>
      </c>
      <c r="K19" s="881">
        <f t="shared" si="13"/>
        <v>0</v>
      </c>
      <c r="L19" s="822">
        <f t="shared" si="13"/>
        <v>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349</v>
      </c>
      <c r="X19" s="821">
        <f t="shared" si="14"/>
        <v>136</v>
      </c>
      <c r="Y19" s="828">
        <f t="shared" si="14"/>
        <v>485</v>
      </c>
      <c r="Z19" s="828">
        <f t="shared" si="14"/>
        <v>0</v>
      </c>
      <c r="AA19" s="828">
        <f t="shared" si="14"/>
        <v>626</v>
      </c>
      <c r="AB19" s="828">
        <f t="shared" si="14"/>
        <v>1698</v>
      </c>
      <c r="AC19" s="828">
        <f t="shared" si="14"/>
        <v>692</v>
      </c>
      <c r="AD19" s="828">
        <f t="shared" si="14"/>
        <v>0</v>
      </c>
      <c r="AE19" s="830">
        <f t="shared" si="14"/>
        <v>0</v>
      </c>
      <c r="AF19" s="831">
        <f t="shared" si="14"/>
        <v>0</v>
      </c>
      <c r="AG19" s="832">
        <f t="shared" si="14"/>
        <v>0</v>
      </c>
      <c r="AH19" s="830">
        <f t="shared" si="14"/>
        <v>0</v>
      </c>
      <c r="AI19" s="820">
        <f t="shared" si="14"/>
        <v>142</v>
      </c>
      <c r="AJ19" s="820">
        <f t="shared" si="14"/>
        <v>0</v>
      </c>
      <c r="AK19" s="830">
        <f t="shared" si="14"/>
        <v>0</v>
      </c>
      <c r="AL19" s="884">
        <f>IF(ISNUMBER(NºAsuntos!G19/NºAsuntos!E19),NºAsuntos!G19/NºAsuntos!E19," - ")</f>
        <v>0.79908675799086759</v>
      </c>
      <c r="AM19" s="885">
        <f>IF(ISNUMBER(((NºAsuntos!I19/NºAsuntos!G19)*11)/factor_trimestre),((NºAsuntos!I19/NºAsuntos!G19)*11)/factor_trimestre," - ")</f>
        <v>8.1042857142857159</v>
      </c>
      <c r="AN19" s="885">
        <f>IF(ISNUMBER('Resol  Asuntos'!D19/NºAsuntos!G19),'Resol  Asuntos'!D19/NºAsuntos!G19," - ")</f>
        <v>0.20285714285714285</v>
      </c>
      <c r="AO19" s="886">
        <f>IF(ISNUMBER((NºAsuntos!C19+NºAsuntos!E19)/NºAsuntos!G19),(NºAsuntos!C19+NºAsuntos!E19)/NºAsuntos!G19," - ")</f>
        <v>3.6942857142857144</v>
      </c>
      <c r="AP19" s="887" t="str">
        <f t="shared" si="2"/>
        <v xml:space="preserve"> - </v>
      </c>
      <c r="AQ19" s="888">
        <f>IF(OR(ISNUMBER(FIND("01",Criterios!A8,1)),ISNUMBER(FIND("02",Criterios!A8,1)),ISNUMBER(FIND("03",Criterios!A8,1)),ISNUMBER(FIND("04",Criterios!A8,1))),(I19-W19+K19)/(F19-K19),(H19-W19+K19)/(F19-K19))</f>
        <v>-0.64510166358595189</v>
      </c>
      <c r="AR19" s="889">
        <f>IF(ISNUMBER((Datos!P19-Datos!Q19)/(Datos!R19-Datos!P19+Datos!Q19)),(Datos!P19-Datos!Q19)/(Datos!R19-Datos!P19+Datos!Q19)," - ")</f>
        <v>-2.4698449167145319E-2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286.94308378724401</v>
      </c>
      <c r="G21" s="253">
        <f>IF(ISNUMBER(STDEV(G8:G18)),STDEV(G8:G18),"-")</f>
        <v>286.61001378179373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174.46718889235305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48.46304433964778</v>
      </c>
      <c r="AJ21" s="252">
        <f t="shared" si="18"/>
        <v>0</v>
      </c>
      <c r="AK21" s="254">
        <f t="shared" si="18"/>
        <v>0</v>
      </c>
      <c r="AL21" s="249">
        <f t="shared" si="18"/>
        <v>0.20322719860908242</v>
      </c>
      <c r="AM21" s="250">
        <f t="shared" si="18"/>
        <v>23.854531257754957</v>
      </c>
      <c r="AN21" s="250">
        <f t="shared" si="18"/>
        <v>0.34844829908137631</v>
      </c>
      <c r="AO21" s="251">
        <f t="shared" si="18"/>
        <v>7.9566205296674566</v>
      </c>
      <c r="AP21" s="291" t="str">
        <f t="shared" si="18"/>
        <v>-</v>
      </c>
      <c r="AQ21" s="292">
        <f t="shared" si="18"/>
        <v>0.44198818508743998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uRPNSd2UF4cTStHzJ0Ia8MjRi8Kjh10IudyASC5QkL2vnN7PQSHIuoFDAyOy+FmqXINlEHRu40W5YK9mwxQTg==" saltValue="p9QQ8pS5Ue71b/YB4xA56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VILLARROBLEDO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0.15789473684210525</v>
      </c>
      <c r="E10" s="348">
        <f>IF(ISNUMBER((Datos!J10-Datos!T10)/Datos!T10),(Datos!J10-Datos!T10)/Datos!T10," - ")</f>
        <v>-0.5</v>
      </c>
      <c r="F10" s="348" t="str">
        <f>IF(ISNUMBER((Datos!K10-Datos!U10)/Datos!U10),(Datos!K10-Datos!U10)/Datos!U10," - ")</f>
        <v xml:space="preserve"> - </v>
      </c>
      <c r="G10" s="349">
        <f>IF(ISNUMBER((Datos!L10-Datos!V10)/Datos!V10),(Datos!L10-Datos!V10)/Datos!V10," - ")</f>
        <v>4.7619047619047616E-2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0.12631578947368421</v>
      </c>
      <c r="I12" s="350">
        <f>IF(ISNUMBER((Tasas!C12-Datos!BE12)/Datos!BE12),(Tasas!C12-Datos!BE12)/Datos!BE12," - ")</f>
        <v>0.28340795007461661</v>
      </c>
      <c r="J12" s="349">
        <f>IF(ISNUMBER((Tasas!D12-Datos!BF12)/Datos!BF12),(Tasas!D12-Datos!BF12)/Datos!BF12," - ")</f>
        <v>-0.22892575833752299</v>
      </c>
      <c r="K12" s="351">
        <f>IF(ISNUMBER((Tasas!E12-Datos!BG12)/Datos!BG12),(Tasas!E12-Datos!BG12)/Datos!BG12," - ")</f>
        <v>0.20714335348481691</v>
      </c>
      <c r="M12" t="e">
        <f>IF(Monitorios="SI",Datos!CE12,0)</f>
        <v>#REF!</v>
      </c>
      <c r="N12" t="e">
        <f>IF(Monitorios="SI",Datos!CF12,0)</f>
        <v>#REF!</v>
      </c>
      <c r="O12" t="e">
        <f>IF(Monitorios="SI",Datos!CG12,0)</f>
        <v>#REF!</v>
      </c>
      <c r="P12" t="e">
        <f>IF(Monitorios="SI",Datos!CH12,0)</f>
        <v>#REF!</v>
      </c>
      <c r="Q12">
        <f>IF(J_V="SI",0,Datos!AG12)</f>
        <v>55</v>
      </c>
      <c r="R12">
        <f>IF(J_V="SI",0,Datos!AH12)</f>
        <v>32</v>
      </c>
      <c r="S12">
        <f>IF(J_V="SI",0,Datos!AI12)</f>
        <v>23</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0.1368421052631579</v>
      </c>
      <c r="I13" s="357">
        <f>IF(ISNUMBER((Tasas!C13-Datos!BE13)/Datos!BE13),(Tasas!C13-Datos!BE13)/Datos!BE13," - ")</f>
        <v>0.2743161094224924</v>
      </c>
      <c r="J13" s="355">
        <f>IF(ISNUMBER((Tasas!D13-Datos!BF13)/Datos!BF13),(Tasas!D13-Datos!BF13)/Datos!BF13," - ")</f>
        <v>-0.22393048128342241</v>
      </c>
      <c r="K13" s="358">
        <f>IF(ISNUMBER((Tasas!E13-Datos!BG13)/Datos!BG13),(Tasas!E13-Datos!BG13)/Datos!BG13," - ")</f>
        <v>0.20161290322580644</v>
      </c>
      <c r="M13" t="e">
        <f>IF(Monitorios="SI",Datos!CE13,0)</f>
        <v>#REF!</v>
      </c>
      <c r="N13" t="e">
        <f>IF(Monitorios="SI",Datos!CF13,0)</f>
        <v>#REF!</v>
      </c>
      <c r="O13" t="e">
        <f>IF(Monitorios="SI",Datos!CG13,0)</f>
        <v>#REF!</v>
      </c>
      <c r="P13" t="e">
        <f>IF(Monitorios="SI",Datos!CH13,0)</f>
        <v>#REF!</v>
      </c>
      <c r="Q13">
        <f>IF(J_V="SI",0,Datos!AG13)</f>
        <v>55</v>
      </c>
      <c r="R13">
        <f>IF(J_V="SI",0,Datos!AH13)</f>
        <v>32</v>
      </c>
      <c r="S13">
        <f>IF(J_V="SI",0,Datos!AI13)</f>
        <v>23</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-9.3309859154929578E-2</v>
      </c>
      <c r="E16" s="348">
        <f>IF(ISNUMBER(
   IF(D_I="SI",(Datos!J16-Datos!T16)/Datos!T16,(Datos!J16+Datos!AD16-(Datos!T16+Datos!AL16))/(Datos!T16+Datos!AL16))
     ),IF(D_I="SI",(Datos!J16-Datos!T16)/Datos!T16,(Datos!J16+Datos!AD16-(Datos!T16+Datos!AL16))/(Datos!T16+Datos!AL16))," - ")</f>
        <v>-3.8338658146964855E-2</v>
      </c>
      <c r="F16" s="348">
        <f>IF(ISNUMBER(
   IF(D_I="SI",(Datos!K16-Datos!U16)/Datos!U16,(Datos!K16+Datos!AE16-(Datos!U16+Datos!AM16))/(Datos!U16+Datos!AM16))
     ),IF(D_I="SI",(Datos!K16-Datos!U16)/Datos!U16,(Datos!K16+Datos!AE16-(Datos!U16+Datos!AM16))/(Datos!U16+Datos!AM16))," - ")</f>
        <v>0.14760147601476015</v>
      </c>
      <c r="G16" s="349">
        <f>IF(ISNUMBER(
   IF(D_I="SI",(Datos!L16-Datos!V16)/Datos!V16,(Datos!L16+Datos!AF16-(Datos!V16+Datos!AN16))/(Datos!V16+Datos!AN16))
     ),IF(D_I="SI",(Datos!L16-Datos!V16)/Datos!V16,(Datos!L16+Datos!AF16-(Datos!V16+Datos!AN16))/(Datos!V16+Datos!AN16))," - ")</f>
        <v>-0.16557377049180327</v>
      </c>
      <c r="H16" s="230">
        <f>IF(ISNUMBER((Datos!M16-Datos!W16)/Datos!W16),(Datos!M16-Datos!W16)/Datos!W16," - ")</f>
        <v>-0.21052631578947367</v>
      </c>
      <c r="I16" s="350">
        <f>IF(ISNUMBER((Tasas!C16-Datos!BE16)/Datos!BE16),(Tasas!C16-Datos!BE16)/Datos!BE16," - ")</f>
        <v>-0.27289547203626591</v>
      </c>
      <c r="J16" s="349">
        <f>IF(ISNUMBER((Tasas!D16-Datos!BF16)/Datos!BF16),(Tasas!D16-Datos!BF16)/Datos!BF16," - ")</f>
        <v>-0.31206633948214585</v>
      </c>
      <c r="K16" s="351">
        <f>IF(ISNUMBER((Tasas!E16-Datos!BG16)/Datos!BG16),(Tasas!E16-Datos!BG16)/Datos!BG16," - ")</f>
        <v>-0.19290779624148244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0.11494252873563218</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1.3125</v>
      </c>
      <c r="G17" s="349">
        <f>IF(ISNUMBER(
   IF(D_I="SI",(Datos!L17-Datos!V17)/Datos!V17,(Datos!L17+Datos!AF17-(Datos!V17+Datos!AN17))/(Datos!V17+Datos!AN17))
     ),IF(D_I="SI",(Datos!L17-Datos!V17)/Datos!V17,(Datos!L17+Datos!AF17-(Datos!V17+Datos!AN17))/(Datos!V17+Datos!AN17))," - ")</f>
        <v>7.9545454545454544E-2</v>
      </c>
      <c r="H17" s="230">
        <f>IF(ISNUMBER((Datos!M17-Datos!W17)/Datos!W17),(Datos!M17-Datos!W17)/Datos!W17," - ")</f>
        <v>1</v>
      </c>
      <c r="I17" s="350">
        <f>IF(ISNUMBER((Tasas!C17-Datos!BE17)/Datos!BE17),(Tasas!C17-Datos!BE17)/Datos!BE17," - ")</f>
        <v>-0.53316953316953319</v>
      </c>
      <c r="J17" s="349">
        <f>IF(ISNUMBER((Tasas!D17-Datos!BF17)/Datos!BF17),(Tasas!D17-Datos!BF17)/Datos!BF17," - ")</f>
        <v>-0.13513513513513509</v>
      </c>
      <c r="K17" s="351">
        <f>IF(ISNUMBER((Tasas!E17-Datos!BG17)/Datos!BG17),(Tasas!E17-Datos!BG17)/Datos!BG17," - ")</f>
        <v>-0.45530145530145533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-6.5648854961832065E-2</v>
      </c>
      <c r="E18" s="354">
        <f>IF(ISNUMBER(
   IF(D_I="SI",(Datos!J18-Datos!T18)/Datos!T18,(Datos!J18+Datos!AD18-(Datos!T18+Datos!AL18))/(Datos!T18+Datos!AL18))
     ),IF(D_I="SI",(Datos!J18-Datos!T18)/Datos!T18,(Datos!J18+Datos!AD18-(Datos!T18+Datos!AL18))/(Datos!T18+Datos!AL18))," - ")</f>
        <v>1.5151515151515152E-2</v>
      </c>
      <c r="F18" s="354">
        <f>IF(ISNUMBER(
   IF(D_I="SI",(Datos!K18-Datos!U18)/Datos!U18,(Datos!K18+Datos!AE18-(Datos!U18+Datos!AM18))/(Datos!U18+Datos!AM18))
     ),IF(D_I="SI",(Datos!K18-Datos!U18)/Datos!U18,(Datos!K18+Datos!AE18-(Datos!U18+Datos!AM18))/(Datos!U18+Datos!AM18))," - ")</f>
        <v>0.21254355400696864</v>
      </c>
      <c r="G18" s="355">
        <f>IF(ISNUMBER(
   IF(D_I="SI",(Datos!L18-Datos!V18)/Datos!V18,(Datos!L18+Datos!AF18-(Datos!V18+Datos!AN18))/(Datos!V18+Datos!AN18))
     ),IF(D_I="SI",(Datos!L18-Datos!V18)/Datos!V18,(Datos!L18+Datos!AF18-(Datos!V18+Datos!AN18))/(Datos!V18+Datos!AN18))," - ")</f>
        <v>-0.1346704871060172</v>
      </c>
      <c r="H18" s="356">
        <f>IF(ISNUMBER((Datos!M18-Datos!W18)/Datos!W18),(Datos!M18-Datos!W18)/Datos!W18," - ")</f>
        <v>-0.15</v>
      </c>
      <c r="I18" s="357">
        <f>IF(ISNUMBER((Tasas!C18-Datos!BE18)/Datos!BE18),(Tasas!C18-Datos!BE18)/Datos!BE18," - ")</f>
        <v>-0.28635180976846819</v>
      </c>
      <c r="J18" s="355">
        <f>IF(ISNUMBER((Tasas!D18-Datos!BF18)/Datos!BF18),(Tasas!D18-Datos!BF18)/Datos!BF18," - ")</f>
        <v>-0.29899425287356313</v>
      </c>
      <c r="K18" s="358">
        <f>IF(ISNUMBER((Tasas!E18-Datos!BG18)/Datos!BG18),(Tasas!E18-Datos!BG18)/Datos!BG18," - ")</f>
        <v>-0.20710368166170723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7.3446327683615822E-2</v>
      </c>
      <c r="E19" s="363">
        <f>IF(ISNUMBER(
   IF(J_V="SI",(Datos!J19-Datos!T19)/Datos!T19,(Datos!J19+Datos!Z19-(Datos!T19+Datos!AH19))/(Datos!T19+Datos!AH19))
     ),IF(J_V="SI",(Datos!J19-Datos!T19)/Datos!T19,(Datos!J19+Datos!Z19-(Datos!T19+Datos!AH19))/(Datos!T19+Datos!AH19))," - ")</f>
        <v>0.20827586206896551</v>
      </c>
      <c r="F19" s="363">
        <f>IF(ISNUMBER(
   IF(J_V="SI",(Datos!K19-Datos!U19)/Datos!U19,(Datos!K19+Datos!AA19-(Datos!U19+Datos!AI19))/(Datos!U19+Datos!AI19))
     ),IF(J_V="SI",(Datos!K19-Datos!U19)/Datos!U19,(Datos!K19+Datos!AA19-(Datos!U19+Datos!AI19))/(Datos!U19+Datos!AI19))," - ")</f>
        <v>0.10935023771790808</v>
      </c>
      <c r="G19" s="364">
        <f>IF(ISNUMBER(
   IF(J_V="SI",(Datos!L19-Datos!V19)/Datos!V19,(Datos!L19+Datos!AB19-(Datos!V19+Datos!AJ19))/(Datos!V19+Datos!AJ19))
     ),IF(J_V="SI",(Datos!L19-Datos!V19)/Datos!V19,(Datos!L19+Datos!AB19-(Datos!V19+Datos!AJ19))/(Datos!V19+Datos!AJ19))," - ")</f>
        <v>0.12225519287833828</v>
      </c>
      <c r="H19" s="365">
        <f>IF(ISNUMBER((Datos!M19-Datos!W19)/Datos!W19),(Datos!M19-Datos!W19)/Datos!W19," - ")</f>
        <v>5.185185185185185E-2</v>
      </c>
      <c r="I19" s="362">
        <f>IF(ISNUMBER((Tasas!C19-Datos!BE19)/Datos!BE19),(Tasas!C19-Datos!BE19)/Datos!BE19," - ")</f>
        <v>1.1632895294616377E-2</v>
      </c>
      <c r="J19" s="363">
        <f>IF(ISNUMBER((Tasas!D19-Datos!BF19)/Datos!BF19),(Tasas!D19-Datos!BF19)/Datos!BF19," - ")</f>
        <v>-0.27271103896103904</v>
      </c>
      <c r="K19" s="364">
        <f>IF(ISNUMBER((Tasas!E19-Datos!BG19)/Datos!BG19),(Tasas!E19-Datos!BG19)/Datos!BG19," - ")</f>
        <v>5.6489584617281331E-3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0.12638163591173526</v>
      </c>
      <c r="E21" s="278">
        <f t="shared" si="1"/>
        <v>0.63110004383052876</v>
      </c>
      <c r="F21" s="278">
        <f t="shared" si="1"/>
        <v>0.65461314628801404</v>
      </c>
      <c r="G21" s="279">
        <f t="shared" si="1"/>
        <v>0.12470861527579408</v>
      </c>
      <c r="H21" s="285">
        <f t="shared" si="1"/>
        <v>0.48439498774773115</v>
      </c>
      <c r="I21" s="277">
        <f t="shared" si="1"/>
        <v>0.36712708093316587</v>
      </c>
      <c r="J21" s="278">
        <f t="shared" si="1"/>
        <v>7.0801143261430111E-2</v>
      </c>
      <c r="K21" s="279">
        <f t="shared" si="1"/>
        <v>0.28769703099962601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uGf6VAGY0+rvCzIjuz3YXq/7HKn3Do17n6RZi3llmeZDgX89EYAAPyhh4hcICbW/CtATF1s7nkDoX12XEye4A==" saltValue="ljbOaXTykj79+ETlvhUj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